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2.xml" ContentType="application/vnd.openxmlformats-officedocument.spreadsheetml.comments+xml"/>
  <Override PartName="/xl/threadedComments/threadedComment2.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Ex1.xml" ContentType="application/vnd.ms-office.chartex+xml"/>
  <Override PartName="/xl/charts/style3.xml" ContentType="application/vnd.ms-office.chartstyle+xml"/>
  <Override PartName="/xl/charts/colors3.xml" ContentType="application/vnd.ms-office.chartcolorstyle+xml"/>
  <Override PartName="/xl/charts/chart3.xml" ContentType="application/vnd.openxmlformats-officedocument.drawingml.chart+xml"/>
  <Override PartName="/xl/charts/style4.xml" ContentType="application/vnd.ms-office.chartstyle+xml"/>
  <Override PartName="/xl/charts/colors4.xml" ContentType="application/vnd.ms-office.chartcolorstyle+xml"/>
  <Override PartName="/xl/charts/chartEx2.xml" ContentType="application/vnd.ms-office.chartex+xml"/>
  <Override PartName="/xl/charts/style5.xml" ContentType="application/vnd.ms-office.chartstyle+xml"/>
  <Override PartName="/xl/charts/colors5.xml" ContentType="application/vnd.ms-office.chartcolorstyle+xml"/>
  <Override PartName="/xl/charts/chart4.xml" ContentType="application/vnd.openxmlformats-officedocument.drawingml.chart+xml"/>
  <Override PartName="/xl/charts/style6.xml" ContentType="application/vnd.ms-office.chartstyle+xml"/>
  <Override PartName="/xl/charts/colors6.xml" ContentType="application/vnd.ms-office.chartcolorstyle+xml"/>
  <Override PartName="/xl/charts/chartEx3.xml" ContentType="application/vnd.ms-office.chartex+xml"/>
  <Override PartName="/xl/charts/style7.xml" ContentType="application/vnd.ms-office.chartstyle+xml"/>
  <Override PartName="/xl/charts/colors7.xml" ContentType="application/vnd.ms-office.chartcolorstyle+xml"/>
  <Override PartName="/xl/charts/chart5.xml" ContentType="application/vnd.openxmlformats-officedocument.drawingml.chart+xml"/>
  <Override PartName="/xl/charts/style8.xml" ContentType="application/vnd.ms-office.chartstyle+xml"/>
  <Override PartName="/xl/charts/colors8.xml" ContentType="application/vnd.ms-office.chartcolorstyle+xml"/>
  <Override PartName="/xl/charts/chartEx4.xml" ContentType="application/vnd.ms-office.chartex+xml"/>
  <Override PartName="/xl/charts/style9.xml" ContentType="application/vnd.ms-office.chartstyle+xml"/>
  <Override PartName="/xl/charts/colors9.xml" ContentType="application/vnd.ms-office.chartcolorstyle+xml"/>
  <Override PartName="/xl/charts/chart6.xml" ContentType="application/vnd.openxmlformats-officedocument.drawingml.chart+xml"/>
  <Override PartName="/xl/charts/style10.xml" ContentType="application/vnd.ms-office.chartstyle+xml"/>
  <Override PartName="/xl/charts/colors10.xml" ContentType="application/vnd.ms-office.chartcolorstyle+xml"/>
  <Override PartName="/xl/charts/chartEx5.xml" ContentType="application/vnd.ms-office.chartex+xml"/>
  <Override PartName="/xl/charts/style11.xml" ContentType="application/vnd.ms-office.chartstyle+xml"/>
  <Override PartName="/xl/charts/colors11.xml" ContentType="application/vnd.ms-office.chartcolorstyle+xml"/>
  <Override PartName="/xl/comments3.xml" ContentType="application/vnd.openxmlformats-officedocument.spreadsheetml.comments+xml"/>
  <Override PartName="/xl/threadedComments/threadedComment3.xml" ContentType="application/vnd.ms-excel.threadedcomments+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hidePivotFieldList="1" defaultThemeVersion="166925"/>
  <mc:AlternateContent xmlns:mc="http://schemas.openxmlformats.org/markup-compatibility/2006">
    <mc:Choice Requires="x15">
      <x15ac:absPath xmlns:x15ac="http://schemas.microsoft.com/office/spreadsheetml/2010/11/ac" url="\\vfs04.acjette.be\datas$\ESPACE PUBLIC\DEVELOPPEMENT DURABLE\Plan Climat\Plan Air Climat Jette\4. Participation\Plan d'action\documents finals PA administrations\"/>
    </mc:Choice>
  </mc:AlternateContent>
  <xr:revisionPtr revIDLastSave="0" documentId="13_ncr:1_{3FA229AE-B32F-4934-A6A4-E031B2AE5973}" xr6:coauthVersionLast="47" xr6:coauthVersionMax="47" xr10:uidLastSave="{00000000-0000-0000-0000-000000000000}"/>
  <bookViews>
    <workbookView xWindow="-108" yWindow="-108" windowWidth="23256" windowHeight="12456" tabRatio="809" firstSheet="4" activeTab="4" xr2:uid="{F4CAE95D-9A97-4570-BF31-3F36ADAA7C05}"/>
  </bookViews>
  <sheets>
    <sheet name="Admin_2024" sheetId="1" state="hidden" r:id="rId1"/>
    <sheet name="Overview_2024" sheetId="13" state="hidden" r:id="rId2"/>
    <sheet name="Sankey_diag" sheetId="10" state="hidden" r:id="rId3"/>
    <sheet name="Admin_2030" sheetId="16" state="hidden" r:id="rId4"/>
    <sheet name="Plan Climat_Admin_2030" sheetId="17" r:id="rId5"/>
    <sheet name="Admin_graphiques" sheetId="21" state="hidden" r:id="rId6"/>
    <sheet name="Overview_2024_2030" sheetId="18" state="hidden" r:id="rId7"/>
    <sheet name="FYI - Territoire" sheetId="3" state="hidden" r:id="rId8"/>
    <sheet name="Etat de lieu - AFOM" sheetId="4" state="hidden" r:id="rId9"/>
    <sheet name="Benchmark" sheetId="5" state="hidden" r:id="rId10"/>
    <sheet name="Lists" sheetId="2" state="hidden" r:id="rId11"/>
  </sheets>
  <definedNames>
    <definedName name="_xlnm._FilterDatabase" localSheetId="0" hidden="1">Admin_2024!$A$1:$AH$138</definedName>
    <definedName name="_xlnm._FilterDatabase" localSheetId="3" hidden="1">Admin_2030!$A$1:$AH$151</definedName>
    <definedName name="_xlnm._FilterDatabase" localSheetId="8" hidden="1">'Etat de lieu - AFOM'!$A$1:$S$103</definedName>
    <definedName name="_xlnm._FilterDatabase" localSheetId="7" hidden="1">'FYI - Territoire'!$A$2:$AC$237</definedName>
    <definedName name="_xlnm._FilterDatabase" localSheetId="4" hidden="1">'Plan Climat_Admin_2030'!$A$1:$I$171</definedName>
    <definedName name="_xlchart.v1.0" hidden="1">Admin_graphiques!$B$87:$B$94</definedName>
    <definedName name="_xlchart.v1.1" hidden="1">Admin_graphiques!$G$87:$G$94</definedName>
    <definedName name="_xlchart.v1.2" hidden="1">Admin_graphiques!$B$47:$B$56</definedName>
    <definedName name="_xlchart.v1.3" hidden="1">Admin_graphiques!$H$47:$H$56</definedName>
    <definedName name="_xlchart.v1.4" hidden="1">Admin_graphiques!$B$68:$B$76</definedName>
    <definedName name="_xlchart.v1.5" hidden="1">Admin_graphiques!$H$68:$H$76</definedName>
    <definedName name="_xlchart.v1.6" hidden="1">Admin_graphiques!$B$30:$B$42</definedName>
    <definedName name="_xlchart.v1.7" hidden="1">Admin_graphiques!$H$30:$H$42</definedName>
    <definedName name="_xlchart.v1.8" hidden="1">Admin_graphiques!$B$109:$B$122</definedName>
    <definedName name="_xlchart.v1.9" hidden="1">Admin_graphiques!$G$109:$G$122</definedName>
    <definedName name="Feasibility">Lists!$C$2:$C$4</definedName>
    <definedName name="HLM">Lists!$A$2:$A$4</definedName>
    <definedName name="Ranking">Lists!$B$2:$B$6</definedName>
    <definedName name="Source">Lists!$E$2:$E$5</definedName>
    <definedName name="Source_d_emission_niv1">Lists!$F$2:$F$11</definedName>
    <definedName name="Source_d_emission_niv2">Lists!$G$2:$G$29</definedName>
    <definedName name="SWOT">Lists!$D$2:$D$5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4" i="17" l="1"/>
  <c r="H71" i="17"/>
  <c r="C58" i="17"/>
  <c r="E2" i="17" l="1"/>
  <c r="E4" i="17"/>
  <c r="E32" i="17"/>
  <c r="E44" i="17"/>
  <c r="E45" i="17"/>
  <c r="E50" i="17"/>
  <c r="H151" i="17"/>
  <c r="H131" i="17" l="1"/>
  <c r="H94" i="17"/>
  <c r="E61" i="17"/>
  <c r="H72" i="17"/>
  <c r="H84" i="17"/>
  <c r="E102" i="17"/>
  <c r="H107" i="17"/>
  <c r="H101" i="17"/>
  <c r="H161" i="17"/>
  <c r="X140" i="16" a="1"/>
  <c r="X140" i="16" s="1"/>
  <c r="W140" i="16"/>
  <c r="AA140" i="16"/>
  <c r="W62" i="16"/>
  <c r="AA62" i="16" s="1"/>
  <c r="AA76" i="16"/>
  <c r="Z131" i="16"/>
  <c r="AD140" i="16" l="1"/>
  <c r="AE140" i="16"/>
  <c r="X62" i="16" a="1"/>
  <c r="X62" i="16" s="1"/>
  <c r="W64" i="16"/>
  <c r="AA64" i="16" s="1"/>
  <c r="W63" i="16"/>
  <c r="X64" i="16" l="1" a="1"/>
  <c r="X64" i="16" s="1"/>
  <c r="X63" i="16" l="1" a="1"/>
  <c r="X63" i="16" s="1"/>
  <c r="AA63" i="16" l="1"/>
  <c r="H64" i="17"/>
  <c r="H56" i="17"/>
  <c r="H55" i="17"/>
  <c r="H37" i="17"/>
  <c r="H83" i="17"/>
  <c r="H90" i="17"/>
  <c r="H169" i="17"/>
  <c r="C133" i="17" l="1"/>
  <c r="H122" i="17"/>
  <c r="H103" i="17"/>
  <c r="H170" i="17"/>
  <c r="H2" i="17"/>
  <c r="H100" i="17"/>
  <c r="H78" i="17"/>
  <c r="H153" i="17"/>
  <c r="H160" i="17"/>
  <c r="A160" i="17"/>
  <c r="C160" i="17"/>
  <c r="E160" i="17"/>
  <c r="H40" i="17"/>
  <c r="G111" i="21"/>
  <c r="G118" i="21"/>
  <c r="W87" i="16"/>
  <c r="B111" i="21"/>
  <c r="B112" i="21"/>
  <c r="B113" i="21"/>
  <c r="B114" i="21"/>
  <c r="B116" i="21"/>
  <c r="B117" i="21"/>
  <c r="B121" i="21"/>
  <c r="B118" i="21"/>
  <c r="B119" i="21"/>
  <c r="B115" i="21"/>
  <c r="B120" i="21"/>
  <c r="B110" i="21"/>
  <c r="G89" i="21"/>
  <c r="B93" i="21"/>
  <c r="B89" i="21"/>
  <c r="B90" i="21"/>
  <c r="B91" i="21"/>
  <c r="B92" i="21"/>
  <c r="B88" i="21"/>
  <c r="W12" i="16"/>
  <c r="W9" i="16"/>
  <c r="W8" i="16"/>
  <c r="B73" i="21"/>
  <c r="B74" i="21"/>
  <c r="B71" i="21"/>
  <c r="B75" i="21" l="1"/>
  <c r="B72" i="21"/>
  <c r="B70" i="21"/>
  <c r="B69" i="21"/>
  <c r="T31" i="16"/>
  <c r="B54" i="21" l="1"/>
  <c r="B53" i="21"/>
  <c r="B52" i="21"/>
  <c r="B51" i="21"/>
  <c r="B50" i="21"/>
  <c r="B49" i="21"/>
  <c r="B48" i="21"/>
  <c r="H168" i="17" l="1"/>
  <c r="H167" i="17"/>
  <c r="H166" i="17"/>
  <c r="H165" i="17"/>
  <c r="H163" i="17"/>
  <c r="H162" i="17"/>
  <c r="H158" i="17"/>
  <c r="H157" i="17"/>
  <c r="H156" i="17"/>
  <c r="H155" i="17"/>
  <c r="H154" i="17"/>
  <c r="H152" i="17"/>
  <c r="H148" i="17"/>
  <c r="H141" i="17"/>
  <c r="H140" i="17"/>
  <c r="H139" i="17"/>
  <c r="H138" i="17"/>
  <c r="H136" i="17"/>
  <c r="H135" i="17"/>
  <c r="H134" i="17"/>
  <c r="H133" i="17"/>
  <c r="H130" i="17"/>
  <c r="H129" i="17"/>
  <c r="H128" i="17"/>
  <c r="H127" i="17"/>
  <c r="H126" i="17"/>
  <c r="H125" i="17"/>
  <c r="H124" i="17"/>
  <c r="H123" i="17"/>
  <c r="H121" i="17"/>
  <c r="H119" i="17"/>
  <c r="H118" i="17"/>
  <c r="H117" i="17"/>
  <c r="H115" i="17"/>
  <c r="H114" i="17"/>
  <c r="H113" i="17"/>
  <c r="H112" i="17"/>
  <c r="H111" i="17"/>
  <c r="H110" i="17"/>
  <c r="H108" i="17"/>
  <c r="H102" i="17"/>
  <c r="H99" i="17"/>
  <c r="H98" i="17"/>
  <c r="H97" i="17"/>
  <c r="H96" i="17"/>
  <c r="H93" i="17"/>
  <c r="H92" i="17"/>
  <c r="H91" i="17"/>
  <c r="H89" i="17"/>
  <c r="H88" i="17"/>
  <c r="H87" i="17"/>
  <c r="H86" i="17"/>
  <c r="H85" i="17"/>
  <c r="H82" i="17"/>
  <c r="H67" i="17"/>
  <c r="H77" i="17"/>
  <c r="H66" i="17"/>
  <c r="H70" i="17"/>
  <c r="H63" i="17"/>
  <c r="H69" i="17"/>
  <c r="H62" i="17"/>
  <c r="H61" i="17"/>
  <c r="H60" i="17"/>
  <c r="H59" i="17"/>
  <c r="H58" i="17"/>
  <c r="H54" i="17"/>
  <c r="H52" i="17"/>
  <c r="H51" i="17"/>
  <c r="H50" i="17"/>
  <c r="H46" i="17"/>
  <c r="H45" i="17"/>
  <c r="H44" i="17"/>
  <c r="H43" i="17"/>
  <c r="H38" i="17"/>
  <c r="H32" i="17"/>
  <c r="H31" i="17"/>
  <c r="H28" i="17"/>
  <c r="H26" i="17"/>
  <c r="H13" i="17"/>
  <c r="H5" i="17"/>
  <c r="H4" i="17"/>
  <c r="H3" i="17"/>
  <c r="H79" i="17"/>
  <c r="W131" i="16"/>
  <c r="AA131" i="16" s="1"/>
  <c r="W79" i="16"/>
  <c r="Z79" i="16"/>
  <c r="G117" i="21" l="1"/>
  <c r="AA79" i="16"/>
  <c r="W78" i="16"/>
  <c r="H120" i="17"/>
  <c r="AA78" i="16" l="1"/>
  <c r="G116" i="21"/>
  <c r="H17" i="17" l="1"/>
  <c r="AA109" i="16"/>
  <c r="T137" i="16"/>
  <c r="T67" i="16"/>
  <c r="H150" i="17" l="1"/>
  <c r="H144" i="17"/>
  <c r="H143" i="17"/>
  <c r="H137" i="17"/>
  <c r="H48" i="17"/>
  <c r="U130" i="16"/>
  <c r="T68" i="16" l="1"/>
  <c r="AA11" i="1" l="1"/>
  <c r="AA10" i="1"/>
  <c r="N6" i="13"/>
  <c r="M6" i="13"/>
  <c r="L6" i="13"/>
  <c r="C26" i="18"/>
  <c r="C27" i="18"/>
  <c r="C28" i="18"/>
  <c r="C29" i="18"/>
  <c r="C30" i="18"/>
  <c r="C31" i="18"/>
  <c r="C32" i="18"/>
  <c r="C33" i="18"/>
  <c r="C34" i="18"/>
  <c r="B26" i="18"/>
  <c r="B27" i="18"/>
  <c r="B28" i="18"/>
  <c r="B29" i="18"/>
  <c r="B30" i="18"/>
  <c r="B31" i="18"/>
  <c r="B32" i="18"/>
  <c r="B33" i="18"/>
  <c r="B34" i="18"/>
  <c r="C25" i="18"/>
  <c r="B25" i="18"/>
  <c r="T116" i="16"/>
  <c r="E162" i="17"/>
  <c r="C162" i="17"/>
  <c r="E157" i="17"/>
  <c r="E154" i="17"/>
  <c r="E143" i="17"/>
  <c r="C143" i="17"/>
  <c r="A143" i="17"/>
  <c r="E140" i="17"/>
  <c r="E139" i="17"/>
  <c r="E137" i="17"/>
  <c r="E136" i="17"/>
  <c r="E133" i="17"/>
  <c r="A133" i="17"/>
  <c r="E123" i="17"/>
  <c r="E122" i="17"/>
  <c r="G113" i="21"/>
  <c r="E111" i="17"/>
  <c r="E110" i="17"/>
  <c r="C110" i="17"/>
  <c r="A110" i="17"/>
  <c r="E108" i="17"/>
  <c r="E107" i="17"/>
  <c r="E101" i="17"/>
  <c r="E96" i="17"/>
  <c r="C96" i="17"/>
  <c r="A96" i="17"/>
  <c r="E94" i="17"/>
  <c r="E92" i="17"/>
  <c r="E90" i="17"/>
  <c r="E85" i="17"/>
  <c r="E82" i="17"/>
  <c r="C82" i="17"/>
  <c r="A82" i="17"/>
  <c r="H19" i="18"/>
  <c r="H18" i="18"/>
  <c r="H17" i="18"/>
  <c r="H16" i="18"/>
  <c r="H15" i="18"/>
  <c r="H14" i="18"/>
  <c r="H10" i="18"/>
  <c r="H9" i="18"/>
  <c r="E69" i="17"/>
  <c r="A9" i="18" s="1"/>
  <c r="H8" i="18"/>
  <c r="H7" i="18"/>
  <c r="A7" i="18"/>
  <c r="H6" i="18"/>
  <c r="H5" i="18"/>
  <c r="H4" i="18"/>
  <c r="E58" i="17"/>
  <c r="A4" i="18" s="1"/>
  <c r="A58" i="17"/>
  <c r="E53" i="17"/>
  <c r="AB151" i="16"/>
  <c r="AC151" i="16" s="1"/>
  <c r="AA151" i="16"/>
  <c r="AB150" i="16"/>
  <c r="AC150" i="16" s="1"/>
  <c r="AA150" i="16"/>
  <c r="AB149" i="16"/>
  <c r="AC149" i="16" s="1"/>
  <c r="AA149" i="16"/>
  <c r="AB148" i="16"/>
  <c r="AC148" i="16" s="1"/>
  <c r="AA148" i="16"/>
  <c r="AB147" i="16"/>
  <c r="AC147" i="16" s="1"/>
  <c r="AA147" i="16"/>
  <c r="AB146" i="16"/>
  <c r="AC146" i="16" s="1"/>
  <c r="AA146" i="16"/>
  <c r="AB145" i="16"/>
  <c r="AC145" i="16" s="1"/>
  <c r="AA145" i="16"/>
  <c r="AB144" i="16"/>
  <c r="AC144" i="16" s="1"/>
  <c r="AA144" i="16"/>
  <c r="AB143" i="16"/>
  <c r="AC143" i="16" s="1"/>
  <c r="AA143" i="16"/>
  <c r="AB142" i="16"/>
  <c r="AC142" i="16" s="1"/>
  <c r="AA142" i="16"/>
  <c r="AB141" i="16"/>
  <c r="AC141" i="16" s="1"/>
  <c r="AA141" i="16"/>
  <c r="AB139" i="16"/>
  <c r="AC139" i="16" s="1"/>
  <c r="AA139" i="16"/>
  <c r="AB138" i="16"/>
  <c r="AA136" i="16"/>
  <c r="X136" i="16" a="1"/>
  <c r="X136" i="16" s="1"/>
  <c r="AA135" i="16"/>
  <c r="X135" i="16" a="1"/>
  <c r="X135" i="16" s="1"/>
  <c r="Z130" i="16"/>
  <c r="W126" i="16"/>
  <c r="X126" i="16" s="1" a="1"/>
  <c r="X126" i="16" s="1"/>
  <c r="AA121" i="16"/>
  <c r="X121" i="16" a="1"/>
  <c r="X121" i="16" s="1"/>
  <c r="Z116" i="16"/>
  <c r="Z126" i="16" s="1"/>
  <c r="U116" i="16"/>
  <c r="AA115" i="16"/>
  <c r="X115" i="16" a="1"/>
  <c r="X115" i="16" s="1"/>
  <c r="AA113" i="16"/>
  <c r="X113" i="16" a="1"/>
  <c r="X113" i="16" s="1"/>
  <c r="AA112" i="16"/>
  <c r="X112" i="16" a="1"/>
  <c r="X112" i="16" s="1"/>
  <c r="AA111" i="16"/>
  <c r="X111" i="16" a="1"/>
  <c r="X111" i="16" s="1"/>
  <c r="AA110" i="16"/>
  <c r="X110" i="16" a="1"/>
  <c r="X110" i="16" s="1"/>
  <c r="X108" i="16" a="1"/>
  <c r="X108" i="16" s="1"/>
  <c r="T108" i="16"/>
  <c r="AA108" i="16" s="1"/>
  <c r="AA107" i="16"/>
  <c r="X107" i="16" a="1"/>
  <c r="X107" i="16" s="1"/>
  <c r="AB107" i="16" s="1"/>
  <c r="AA106" i="16"/>
  <c r="X106" i="16" a="1"/>
  <c r="X106" i="16" s="1"/>
  <c r="AA105" i="16"/>
  <c r="X105" i="16" a="1"/>
  <c r="X105" i="16" s="1"/>
  <c r="AB105" i="16" s="1"/>
  <c r="AA104" i="16"/>
  <c r="X104" i="16" a="1"/>
  <c r="X104" i="16" s="1"/>
  <c r="W103" i="16"/>
  <c r="X103" i="16" s="1" a="1"/>
  <c r="X103" i="16" s="1"/>
  <c r="AB103" i="16" s="1"/>
  <c r="AA102" i="16"/>
  <c r="X102" i="16" a="1"/>
  <c r="X102" i="16" s="1"/>
  <c r="AA101" i="16"/>
  <c r="X101" i="16" a="1"/>
  <c r="X101" i="16" s="1"/>
  <c r="AB101" i="16" s="1"/>
  <c r="AC101" i="16" s="1"/>
  <c r="AA100" i="16"/>
  <c r="X100" i="16" a="1"/>
  <c r="X100" i="16" s="1"/>
  <c r="AA99" i="16"/>
  <c r="X99" i="16" a="1"/>
  <c r="X99" i="16" s="1"/>
  <c r="AB99" i="16" s="1"/>
  <c r="AC99" i="16" s="1"/>
  <c r="AA97" i="16"/>
  <c r="X97" i="16" a="1"/>
  <c r="X97" i="16" s="1"/>
  <c r="AA96" i="16"/>
  <c r="X96" i="16" a="1"/>
  <c r="X96" i="16" s="1"/>
  <c r="AB96" i="16" s="1"/>
  <c r="AC96" i="16" s="1"/>
  <c r="AA95" i="16"/>
  <c r="X95" i="16" a="1"/>
  <c r="X95" i="16" s="1"/>
  <c r="AA94" i="16"/>
  <c r="X94" i="16" a="1"/>
  <c r="X94" i="16" s="1"/>
  <c r="AA92" i="16"/>
  <c r="X92" i="16" a="1"/>
  <c r="X92" i="16" s="1"/>
  <c r="AA91" i="16"/>
  <c r="X91" i="16" a="1"/>
  <c r="X91" i="16" s="1"/>
  <c r="AA90" i="16"/>
  <c r="X90" i="16" a="1"/>
  <c r="X90" i="16" s="1"/>
  <c r="AA87" i="16"/>
  <c r="Z84" i="16"/>
  <c r="W84" i="16"/>
  <c r="AA83" i="16"/>
  <c r="X83" i="16" a="1"/>
  <c r="X83" i="16" s="1"/>
  <c r="W77" i="16"/>
  <c r="AA77" i="16" s="1"/>
  <c r="W74" i="16"/>
  <c r="AA74" i="16" s="1"/>
  <c r="W71" i="16"/>
  <c r="AA71" i="16" s="1"/>
  <c r="AA66" i="16"/>
  <c r="X66" i="16" a="1"/>
  <c r="X66" i="16" s="1"/>
  <c r="AB66" i="16" s="1"/>
  <c r="AC66" i="16" s="1"/>
  <c r="AC62" i="16"/>
  <c r="AA61" i="16"/>
  <c r="X61" i="16" a="1"/>
  <c r="X61" i="16" s="1"/>
  <c r="AB61" i="16" s="1"/>
  <c r="AC61" i="16" s="1"/>
  <c r="AA59" i="16"/>
  <c r="X59" i="16" a="1"/>
  <c r="X59" i="16" s="1"/>
  <c r="AB59" i="16" s="1"/>
  <c r="AC59" i="16" s="1"/>
  <c r="W58" i="16"/>
  <c r="AA58" i="16" s="1"/>
  <c r="O56" i="16"/>
  <c r="W54" i="16"/>
  <c r="X54" i="16" s="1" a="1"/>
  <c r="X54" i="16" s="1"/>
  <c r="AB52" i="16"/>
  <c r="AC52" i="16" s="1"/>
  <c r="X53" i="16" s="1" a="1"/>
  <c r="X53" i="16" s="1"/>
  <c r="AA52" i="16"/>
  <c r="AB51" i="16"/>
  <c r="AC51" i="16" s="1"/>
  <c r="AB46" i="16"/>
  <c r="AC46" i="16" s="1"/>
  <c r="AA46" i="16"/>
  <c r="Z44" i="16"/>
  <c r="W44" i="16"/>
  <c r="AA41" i="16"/>
  <c r="X41" i="16" a="1"/>
  <c r="X41" i="16" s="1"/>
  <c r="AB41" i="16" s="1"/>
  <c r="AC41" i="16" s="1"/>
  <c r="AA40" i="16"/>
  <c r="X40" i="16" a="1"/>
  <c r="X40" i="16" s="1"/>
  <c r="W39" i="16"/>
  <c r="X39" i="16" s="1" a="1"/>
  <c r="X39" i="16" s="1"/>
  <c r="AA33" i="16"/>
  <c r="X33" i="16" a="1"/>
  <c r="X33" i="16" s="1"/>
  <c r="AB33" i="16" s="1"/>
  <c r="AC33" i="16" s="1"/>
  <c r="Z31" i="16"/>
  <c r="Z32" i="16" s="1"/>
  <c r="AB32" i="16" s="1"/>
  <c r="U31" i="16"/>
  <c r="AA27" i="16"/>
  <c r="X27" i="16" a="1"/>
  <c r="X27" i="16" s="1"/>
  <c r="AB27" i="16" s="1"/>
  <c r="AC27" i="16" s="1"/>
  <c r="AA25" i="16"/>
  <c r="X25" i="16" a="1"/>
  <c r="X25" i="16" s="1"/>
  <c r="AA24" i="16"/>
  <c r="X24" i="16" a="1"/>
  <c r="X24" i="16" s="1"/>
  <c r="AA21" i="16"/>
  <c r="X21" i="16" a="1"/>
  <c r="X21" i="16" s="1"/>
  <c r="AA20" i="16"/>
  <c r="X20" i="16" a="1"/>
  <c r="X20" i="16" s="1"/>
  <c r="AA19" i="16"/>
  <c r="X19" i="16" a="1"/>
  <c r="X19" i="16" s="1"/>
  <c r="AA17" i="16"/>
  <c r="X17" i="16" a="1"/>
  <c r="X17" i="16" s="1"/>
  <c r="AA16" i="16"/>
  <c r="X16" i="16" a="1"/>
  <c r="X16" i="16" s="1"/>
  <c r="AA15" i="16"/>
  <c r="X15" i="16" a="1"/>
  <c r="X15" i="16" s="1"/>
  <c r="AA14" i="16"/>
  <c r="X14" i="16" a="1"/>
  <c r="X14" i="16" s="1"/>
  <c r="AA13" i="16"/>
  <c r="X13" i="16" a="1"/>
  <c r="X13" i="16" s="1"/>
  <c r="AA12" i="16"/>
  <c r="X12" i="16" a="1"/>
  <c r="X12" i="16" s="1"/>
  <c r="AA9" i="16"/>
  <c r="X9" i="16" a="1"/>
  <c r="X9" i="16" s="1"/>
  <c r="AA8" i="16"/>
  <c r="X8" i="16" a="1"/>
  <c r="X8" i="16" s="1"/>
  <c r="AA7" i="16"/>
  <c r="X7" i="16" a="1"/>
  <c r="X7" i="16" s="1"/>
  <c r="AA6" i="16"/>
  <c r="X6" i="16" a="1"/>
  <c r="X6" i="16" s="1"/>
  <c r="AA4" i="16"/>
  <c r="X4" i="16" a="1"/>
  <c r="X4" i="16" s="1"/>
  <c r="AB4" i="16" s="1"/>
  <c r="AC4" i="16" s="1"/>
  <c r="AA3" i="16"/>
  <c r="X3" i="16" a="1"/>
  <c r="X3" i="16" s="1"/>
  <c r="AB3" i="16" s="1"/>
  <c r="G110" i="21" l="1"/>
  <c r="G90" i="21"/>
  <c r="G91" i="21"/>
  <c r="AA44" i="16"/>
  <c r="L10" i="18"/>
  <c r="L8" i="18"/>
  <c r="H13" i="18"/>
  <c r="L13" i="18" s="1"/>
  <c r="H12" i="18"/>
  <c r="L12" i="18" s="1"/>
  <c r="H11" i="18"/>
  <c r="L17" i="18"/>
  <c r="L15" i="18"/>
  <c r="X42" i="16" a="1"/>
  <c r="X42" i="16" s="1"/>
  <c r="AB42" i="16" s="1"/>
  <c r="AC42" i="16" s="1"/>
  <c r="X49" i="16" s="1" a="1"/>
  <c r="X49" i="16" s="1"/>
  <c r="AA103" i="16"/>
  <c r="X74" i="16" a="1"/>
  <c r="X74" i="16" s="1"/>
  <c r="AB74" i="16" s="1"/>
  <c r="AC74" i="16" s="1"/>
  <c r="X81" i="16" s="1" a="1"/>
  <c r="X81" i="16" s="1"/>
  <c r="X44" i="16" a="1"/>
  <c r="X44" i="16" s="1"/>
  <c r="AB44" i="16" s="1"/>
  <c r="AC44" i="16" s="1"/>
  <c r="C37" i="18"/>
  <c r="L20" i="18" s="1"/>
  <c r="C36" i="18"/>
  <c r="I20" i="18" s="1"/>
  <c r="AB92" i="16"/>
  <c r="AC92" i="16" s="1"/>
  <c r="AB97" i="16"/>
  <c r="AC97" i="16" s="1"/>
  <c r="AB6" i="16"/>
  <c r="AC6" i="16" s="1"/>
  <c r="AB14" i="16"/>
  <c r="AC14" i="16" s="1"/>
  <c r="AB111" i="16"/>
  <c r="AC111" i="16" s="1"/>
  <c r="AB135" i="16"/>
  <c r="AC135" i="16" s="1"/>
  <c r="AB91" i="16"/>
  <c r="AC91" i="16" s="1"/>
  <c r="AB19" i="16"/>
  <c r="AC19" i="16" s="1"/>
  <c r="AB83" i="16"/>
  <c r="AC83" i="16" s="1"/>
  <c r="AB102" i="16"/>
  <c r="AC102" i="16" s="1"/>
  <c r="AB106" i="16"/>
  <c r="AC106" i="16" s="1"/>
  <c r="AB7" i="16"/>
  <c r="AC7" i="16" s="1"/>
  <c r="AB15" i="16"/>
  <c r="AC15" i="16" s="1"/>
  <c r="AB39" i="16"/>
  <c r="AC39" i="16" s="1"/>
  <c r="AB54" i="16"/>
  <c r="AC54" i="16" s="1"/>
  <c r="AB94" i="16"/>
  <c r="AC94" i="16" s="1"/>
  <c r="AB126" i="16"/>
  <c r="AC126" i="16" s="1"/>
  <c r="X128" i="16" s="1" a="1"/>
  <c r="X128" i="16" s="1"/>
  <c r="AB136" i="16"/>
  <c r="AC136" i="16" s="1"/>
  <c r="AB25" i="16"/>
  <c r="AC25" i="16" s="1"/>
  <c r="AB95" i="16"/>
  <c r="AC95" i="16" s="1"/>
  <c r="AB53" i="16"/>
  <c r="AC53" i="16" s="1"/>
  <c r="AB20" i="16"/>
  <c r="AC20" i="16" s="1"/>
  <c r="AB40" i="16"/>
  <c r="AC40" i="16" s="1"/>
  <c r="AB112" i="16"/>
  <c r="AC112" i="16" s="1"/>
  <c r="AB8" i="16"/>
  <c r="AC8" i="16" s="1"/>
  <c r="AB16" i="16"/>
  <c r="AC16" i="16" s="1"/>
  <c r="AB21" i="16"/>
  <c r="AC21" i="16" s="1"/>
  <c r="AB113" i="16"/>
  <c r="AC113" i="16" s="1"/>
  <c r="AB13" i="16"/>
  <c r="AC13" i="16" s="1"/>
  <c r="AB24" i="16"/>
  <c r="AC24" i="16" s="1"/>
  <c r="AB110" i="16"/>
  <c r="AC110" i="16" s="1"/>
  <c r="AB9" i="16"/>
  <c r="AC9" i="16" s="1"/>
  <c r="AB17" i="16"/>
  <c r="AC17" i="16" s="1"/>
  <c r="AB90" i="16"/>
  <c r="AC90" i="16" s="1"/>
  <c r="AB100" i="16"/>
  <c r="AC100" i="16" s="1"/>
  <c r="AB108" i="16"/>
  <c r="AC108" i="16" s="1"/>
  <c r="AB115" i="16"/>
  <c r="AC115" i="16" s="1"/>
  <c r="AB121" i="16"/>
  <c r="AC121" i="16" s="1"/>
  <c r="AB12" i="16"/>
  <c r="AC12" i="16" s="1"/>
  <c r="AB104" i="16"/>
  <c r="AC104" i="16" s="1"/>
  <c r="AC3" i="16"/>
  <c r="AA39" i="16"/>
  <c r="AA54" i="16"/>
  <c r="X71" i="16" a="1"/>
  <c r="X71" i="16" s="1"/>
  <c r="X77" i="16" a="1"/>
  <c r="X77" i="16" s="1"/>
  <c r="AC103" i="16"/>
  <c r="AC105" i="16"/>
  <c r="AC107" i="16"/>
  <c r="AA126" i="16"/>
  <c r="AA84" i="16"/>
  <c r="E118" i="13"/>
  <c r="E119" i="13"/>
  <c r="E120" i="13"/>
  <c r="E121" i="13"/>
  <c r="D117" i="13"/>
  <c r="C113" i="13"/>
  <c r="D113" i="13"/>
  <c r="E112" i="13"/>
  <c r="E113" i="13"/>
  <c r="E114" i="13"/>
  <c r="E115" i="13"/>
  <c r="E116" i="13"/>
  <c r="E117" i="13"/>
  <c r="E111" i="13"/>
  <c r="D111" i="13"/>
  <c r="C111" i="13"/>
  <c r="A111" i="13"/>
  <c r="AA100" i="1"/>
  <c r="T100" i="1"/>
  <c r="AA101" i="1"/>
  <c r="AA102" i="1"/>
  <c r="D108" i="13"/>
  <c r="E109" i="13"/>
  <c r="E108" i="13"/>
  <c r="E107" i="13"/>
  <c r="E106" i="13"/>
  <c r="D106" i="13"/>
  <c r="E98" i="13"/>
  <c r="E99" i="13"/>
  <c r="E100" i="13"/>
  <c r="E101" i="13"/>
  <c r="E102" i="13"/>
  <c r="E103" i="13"/>
  <c r="E104" i="13"/>
  <c r="E105" i="13"/>
  <c r="E97" i="13"/>
  <c r="D97" i="13"/>
  <c r="C97" i="13"/>
  <c r="A97" i="13"/>
  <c r="E95" i="13"/>
  <c r="E94" i="13"/>
  <c r="D94" i="13"/>
  <c r="E93" i="13"/>
  <c r="D93" i="13"/>
  <c r="E92" i="13"/>
  <c r="E91" i="13"/>
  <c r="D91" i="13"/>
  <c r="E90" i="13"/>
  <c r="D90" i="13"/>
  <c r="E87" i="13"/>
  <c r="E88" i="13"/>
  <c r="E89" i="13"/>
  <c r="E86" i="13"/>
  <c r="D86" i="13"/>
  <c r="C86" i="13"/>
  <c r="A86" i="13"/>
  <c r="E78" i="13"/>
  <c r="E79" i="13"/>
  <c r="E80" i="13"/>
  <c r="E81" i="13"/>
  <c r="E82" i="13"/>
  <c r="E83" i="13"/>
  <c r="E84" i="13"/>
  <c r="E77" i="13"/>
  <c r="D77" i="13"/>
  <c r="E76" i="13"/>
  <c r="D76" i="13"/>
  <c r="E69" i="13"/>
  <c r="E70" i="13"/>
  <c r="E71" i="13"/>
  <c r="E72" i="13"/>
  <c r="E73" i="13"/>
  <c r="E74" i="13"/>
  <c r="E75" i="13"/>
  <c r="E68" i="13"/>
  <c r="D68" i="13"/>
  <c r="E67" i="13"/>
  <c r="D67" i="13"/>
  <c r="W81" i="1"/>
  <c r="AA81" i="1" s="1"/>
  <c r="C67" i="13"/>
  <c r="A67" i="13"/>
  <c r="Z78" i="1"/>
  <c r="W78" i="1"/>
  <c r="W70" i="1"/>
  <c r="G114" i="21" l="1"/>
  <c r="G115" i="21"/>
  <c r="G88" i="21"/>
  <c r="H35" i="21"/>
  <c r="L11" i="18"/>
  <c r="M86" i="13"/>
  <c r="L86" i="13"/>
  <c r="N86" i="13"/>
  <c r="N95" i="13"/>
  <c r="L95" i="13"/>
  <c r="M95" i="13"/>
  <c r="M68" i="13"/>
  <c r="N68" i="13"/>
  <c r="L68" i="13"/>
  <c r="M83" i="13"/>
  <c r="N83" i="13"/>
  <c r="L83" i="13"/>
  <c r="M87" i="13"/>
  <c r="N87" i="13"/>
  <c r="L87" i="13"/>
  <c r="L106" i="13"/>
  <c r="M106" i="13"/>
  <c r="N106" i="13"/>
  <c r="G67" i="13"/>
  <c r="M67" i="13"/>
  <c r="L67" i="13"/>
  <c r="N67" i="13"/>
  <c r="M112" i="13"/>
  <c r="N112" i="13"/>
  <c r="L112" i="13"/>
  <c r="N89" i="13"/>
  <c r="M89" i="13"/>
  <c r="L89" i="13"/>
  <c r="M98" i="13"/>
  <c r="N98" i="13"/>
  <c r="L98" i="13"/>
  <c r="G84" i="13"/>
  <c r="M84" i="13"/>
  <c r="N84" i="13"/>
  <c r="L84" i="13"/>
  <c r="M74" i="13"/>
  <c r="L74" i="13"/>
  <c r="N74" i="13"/>
  <c r="L107" i="13"/>
  <c r="N107" i="13"/>
  <c r="M107" i="13"/>
  <c r="N121" i="13"/>
  <c r="L121" i="13"/>
  <c r="M121" i="13"/>
  <c r="M88" i="13"/>
  <c r="N88" i="13"/>
  <c r="L88" i="13"/>
  <c r="M75" i="13"/>
  <c r="N75" i="13"/>
  <c r="L75" i="13"/>
  <c r="G82" i="13"/>
  <c r="M82" i="13"/>
  <c r="N82" i="13"/>
  <c r="L82" i="13"/>
  <c r="G73" i="13"/>
  <c r="N73" i="13"/>
  <c r="L73" i="13"/>
  <c r="M73" i="13"/>
  <c r="G81" i="13"/>
  <c r="M81" i="13"/>
  <c r="N81" i="13"/>
  <c r="L81" i="13"/>
  <c r="N90" i="13"/>
  <c r="L90" i="13"/>
  <c r="M90" i="13"/>
  <c r="N97" i="13"/>
  <c r="M97" i="13"/>
  <c r="L97" i="13"/>
  <c r="N108" i="13"/>
  <c r="L108" i="13"/>
  <c r="M108" i="13"/>
  <c r="L120" i="13"/>
  <c r="N120" i="13"/>
  <c r="M120" i="13"/>
  <c r="N111" i="13"/>
  <c r="M111" i="13"/>
  <c r="L111" i="13"/>
  <c r="L119" i="13"/>
  <c r="M119" i="13"/>
  <c r="N119" i="13"/>
  <c r="L94" i="13"/>
  <c r="M94" i="13"/>
  <c r="N94" i="13"/>
  <c r="L77" i="13"/>
  <c r="M77" i="13"/>
  <c r="N77" i="13"/>
  <c r="G105" i="13"/>
  <c r="L105" i="13"/>
  <c r="M105" i="13"/>
  <c r="N105" i="13"/>
  <c r="N79" i="13"/>
  <c r="L79" i="13"/>
  <c r="M79" i="13"/>
  <c r="G104" i="13"/>
  <c r="M104" i="13"/>
  <c r="N104" i="13"/>
  <c r="L104" i="13"/>
  <c r="L117" i="13"/>
  <c r="M117" i="13"/>
  <c r="N117" i="13"/>
  <c r="L118" i="13"/>
  <c r="M118" i="13"/>
  <c r="N118" i="13"/>
  <c r="M70" i="13"/>
  <c r="N70" i="13"/>
  <c r="L70" i="13"/>
  <c r="G78" i="13"/>
  <c r="N78" i="13"/>
  <c r="L78" i="13"/>
  <c r="M78" i="13"/>
  <c r="G92" i="13"/>
  <c r="L92" i="13"/>
  <c r="M92" i="13"/>
  <c r="N92" i="13"/>
  <c r="M103" i="13"/>
  <c r="L103" i="13"/>
  <c r="N103" i="13"/>
  <c r="M116" i="13"/>
  <c r="L116" i="13"/>
  <c r="N116" i="13"/>
  <c r="L99" i="13"/>
  <c r="M99" i="13"/>
  <c r="N99" i="13"/>
  <c r="M80" i="13"/>
  <c r="N80" i="13"/>
  <c r="L80" i="13"/>
  <c r="L71" i="13"/>
  <c r="M71" i="13"/>
  <c r="N71" i="13"/>
  <c r="G69" i="13"/>
  <c r="M69" i="13"/>
  <c r="N69" i="13"/>
  <c r="L69" i="13"/>
  <c r="N102" i="13"/>
  <c r="L102" i="13"/>
  <c r="M102" i="13"/>
  <c r="L93" i="13"/>
  <c r="M93" i="13"/>
  <c r="N93" i="13"/>
  <c r="N101" i="13"/>
  <c r="M101" i="13"/>
  <c r="L101" i="13"/>
  <c r="N114" i="13"/>
  <c r="M114" i="13"/>
  <c r="L114" i="13"/>
  <c r="G72" i="13"/>
  <c r="M72" i="13"/>
  <c r="L72" i="13"/>
  <c r="N72" i="13"/>
  <c r="G109" i="13"/>
  <c r="M109" i="13"/>
  <c r="N109" i="13"/>
  <c r="L109" i="13"/>
  <c r="M91" i="13"/>
  <c r="L91" i="13"/>
  <c r="N91" i="13"/>
  <c r="N115" i="13"/>
  <c r="L115" i="13"/>
  <c r="M115" i="13"/>
  <c r="G76" i="13"/>
  <c r="L76" i="13"/>
  <c r="M76" i="13"/>
  <c r="N76" i="13"/>
  <c r="L100" i="13"/>
  <c r="M100" i="13"/>
  <c r="N100" i="13"/>
  <c r="L113" i="13"/>
  <c r="M113" i="13"/>
  <c r="N113" i="13"/>
  <c r="B20" i="18"/>
  <c r="E20" i="18"/>
  <c r="AB128" i="16"/>
  <c r="AC128" i="16" s="1"/>
  <c r="AB49" i="16"/>
  <c r="AC49" i="16" s="1"/>
  <c r="AB71" i="16"/>
  <c r="AC71" i="16" s="1"/>
  <c r="AB81" i="16"/>
  <c r="AC81" i="16" s="1"/>
  <c r="AB77" i="16"/>
  <c r="AC77" i="16" s="1"/>
  <c r="G83" i="13"/>
  <c r="L14" i="18" l="1"/>
  <c r="E65" i="13" l="1"/>
  <c r="D65" i="13"/>
  <c r="E64" i="13"/>
  <c r="D64" i="13"/>
  <c r="E62" i="13"/>
  <c r="E63" i="13"/>
  <c r="E61" i="13"/>
  <c r="D61" i="13"/>
  <c r="E60" i="13"/>
  <c r="D60" i="13"/>
  <c r="E59" i="13"/>
  <c r="E57" i="13"/>
  <c r="E58" i="13"/>
  <c r="D56" i="13"/>
  <c r="E56" i="13"/>
  <c r="C56" i="13"/>
  <c r="A56" i="13"/>
  <c r="E54" i="13"/>
  <c r="D54" i="13"/>
  <c r="E53" i="13"/>
  <c r="D52" i="13"/>
  <c r="E50" i="13"/>
  <c r="E51" i="13"/>
  <c r="E52" i="13"/>
  <c r="D50" i="13"/>
  <c r="E45" i="13"/>
  <c r="E46" i="13"/>
  <c r="E47" i="13"/>
  <c r="E48" i="13"/>
  <c r="E49" i="13"/>
  <c r="E44" i="13"/>
  <c r="D44" i="13"/>
  <c r="E43" i="13"/>
  <c r="E42" i="13"/>
  <c r="E41" i="13"/>
  <c r="D41" i="13"/>
  <c r="C41" i="13"/>
  <c r="A41" i="13"/>
  <c r="Z31" i="1"/>
  <c r="Z32" i="1" s="1"/>
  <c r="AB32" i="1" s="1"/>
  <c r="L53" i="13" l="1"/>
  <c r="M53" i="13"/>
  <c r="N53" i="13"/>
  <c r="N43" i="13"/>
  <c r="L43" i="13"/>
  <c r="M43" i="13"/>
  <c r="M44" i="13"/>
  <c r="L44" i="13"/>
  <c r="N44" i="13"/>
  <c r="N61" i="13"/>
  <c r="L61" i="13"/>
  <c r="M61" i="13"/>
  <c r="G51" i="13"/>
  <c r="M51" i="13"/>
  <c r="N51" i="13"/>
  <c r="L51" i="13"/>
  <c r="M50" i="13"/>
  <c r="N50" i="13"/>
  <c r="L50" i="13"/>
  <c r="G49" i="13"/>
  <c r="N49" i="13"/>
  <c r="L49" i="13"/>
  <c r="M49" i="13"/>
  <c r="G54" i="13"/>
  <c r="N54" i="13"/>
  <c r="M54" i="13"/>
  <c r="L54" i="13"/>
  <c r="M63" i="13"/>
  <c r="N63" i="13"/>
  <c r="L63" i="13"/>
  <c r="N42" i="13"/>
  <c r="M42" i="13"/>
  <c r="L42" i="13"/>
  <c r="L60" i="13"/>
  <c r="M60" i="13"/>
  <c r="N60" i="13"/>
  <c r="N62" i="13"/>
  <c r="M62" i="13"/>
  <c r="G59" i="13"/>
  <c r="L59" i="13"/>
  <c r="M59" i="13"/>
  <c r="N59" i="13"/>
  <c r="M48" i="13"/>
  <c r="L48" i="13"/>
  <c r="N48" i="13"/>
  <c r="L47" i="13"/>
  <c r="M47" i="13"/>
  <c r="N47" i="13"/>
  <c r="G46" i="13"/>
  <c r="L46" i="13"/>
  <c r="M46" i="13"/>
  <c r="N46" i="13"/>
  <c r="M64" i="13"/>
  <c r="N64" i="13"/>
  <c r="L64" i="13"/>
  <c r="L45" i="13"/>
  <c r="M45" i="13"/>
  <c r="N45" i="13"/>
  <c r="L56" i="13"/>
  <c r="N56" i="13"/>
  <c r="M56" i="13"/>
  <c r="G58" i="13"/>
  <c r="L58" i="13"/>
  <c r="M58" i="13"/>
  <c r="N58" i="13"/>
  <c r="L65" i="13"/>
  <c r="M65" i="13"/>
  <c r="N65" i="13"/>
  <c r="G41" i="13"/>
  <c r="M41" i="13"/>
  <c r="L41" i="13"/>
  <c r="N41" i="13"/>
  <c r="M52" i="13"/>
  <c r="N52" i="13"/>
  <c r="L52" i="13"/>
  <c r="M57" i="13"/>
  <c r="L57" i="13"/>
  <c r="N57" i="13"/>
  <c r="T31" i="1" l="1"/>
  <c r="U31" i="1"/>
  <c r="D20" i="13"/>
  <c r="AB126" i="1"/>
  <c r="E39" i="13"/>
  <c r="T63" i="1"/>
  <c r="E38" i="13"/>
  <c r="E30" i="13"/>
  <c r="E31" i="13"/>
  <c r="E32" i="13"/>
  <c r="E33" i="13"/>
  <c r="E34" i="13"/>
  <c r="E35" i="13"/>
  <c r="E36" i="13"/>
  <c r="E37" i="13"/>
  <c r="E29" i="13"/>
  <c r="D29" i="13"/>
  <c r="E28" i="13"/>
  <c r="E27" i="13"/>
  <c r="D27" i="13"/>
  <c r="E26" i="13"/>
  <c r="E25" i="13"/>
  <c r="E24" i="13"/>
  <c r="D24" i="13"/>
  <c r="C24" i="13"/>
  <c r="A24" i="13"/>
  <c r="T125" i="1"/>
  <c r="Z119" i="1"/>
  <c r="Z106" i="1"/>
  <c r="Z115" i="1" s="1"/>
  <c r="U106" i="1"/>
  <c r="G32" i="13" l="1"/>
  <c r="M32" i="13"/>
  <c r="N32" i="13"/>
  <c r="L32" i="13"/>
  <c r="L27" i="13"/>
  <c r="M27" i="13"/>
  <c r="N27" i="13"/>
  <c r="G33" i="13"/>
  <c r="L33" i="13"/>
  <c r="M33" i="13"/>
  <c r="N33" i="13"/>
  <c r="L26" i="13"/>
  <c r="M26" i="13"/>
  <c r="N26" i="13"/>
  <c r="G28" i="13"/>
  <c r="L28" i="13"/>
  <c r="M28" i="13"/>
  <c r="N28" i="13"/>
  <c r="N25" i="13"/>
  <c r="M25" i="13"/>
  <c r="L25" i="13"/>
  <c r="L39" i="13"/>
  <c r="M39" i="13"/>
  <c r="N39" i="13"/>
  <c r="M38" i="13"/>
  <c r="N38" i="13"/>
  <c r="L38" i="13"/>
  <c r="M29" i="13"/>
  <c r="N29" i="13"/>
  <c r="L29" i="13"/>
  <c r="G37" i="13"/>
  <c r="M37" i="13"/>
  <c r="L37" i="13"/>
  <c r="N37" i="13"/>
  <c r="M31" i="13"/>
  <c r="L31" i="13"/>
  <c r="N31" i="13"/>
  <c r="N36" i="13"/>
  <c r="L36" i="13"/>
  <c r="M36" i="13"/>
  <c r="L24" i="13"/>
  <c r="N24" i="13"/>
  <c r="M24" i="13"/>
  <c r="G30" i="13"/>
  <c r="N30" i="13"/>
  <c r="L30" i="13"/>
  <c r="M30" i="13"/>
  <c r="G35" i="13"/>
  <c r="M35" i="13"/>
  <c r="L35" i="13"/>
  <c r="N35" i="13"/>
  <c r="M34" i="13"/>
  <c r="L34" i="13"/>
  <c r="N34" i="13"/>
  <c r="W57" i="1" l="1"/>
  <c r="AA45" i="1"/>
  <c r="AA51" i="1"/>
  <c r="E22" i="13"/>
  <c r="E20" i="13"/>
  <c r="E21" i="13"/>
  <c r="E18" i="13"/>
  <c r="E19" i="13"/>
  <c r="E17" i="13"/>
  <c r="D17" i="13"/>
  <c r="E16" i="13"/>
  <c r="E15" i="13"/>
  <c r="D15" i="13"/>
  <c r="E14" i="13"/>
  <c r="D14" i="13"/>
  <c r="E13" i="13"/>
  <c r="E12" i="13"/>
  <c r="D12" i="13"/>
  <c r="W53" i="1"/>
  <c r="AA53" i="1" s="1"/>
  <c r="E6" i="13"/>
  <c r="D5" i="13"/>
  <c r="E8" i="13"/>
  <c r="E9" i="13"/>
  <c r="E10" i="13"/>
  <c r="E11" i="13"/>
  <c r="E5" i="13"/>
  <c r="E7" i="13"/>
  <c r="D3" i="13"/>
  <c r="E4" i="13"/>
  <c r="E3" i="13"/>
  <c r="M16" i="13" l="1"/>
  <c r="L16" i="13"/>
  <c r="N16" i="13"/>
  <c r="M19" i="13"/>
  <c r="L19" i="13"/>
  <c r="N19" i="13"/>
  <c r="N9" i="13"/>
  <c r="L9" i="13"/>
  <c r="M9" i="13"/>
  <c r="N8" i="13"/>
  <c r="M8" i="13"/>
  <c r="L8" i="13"/>
  <c r="G21" i="13"/>
  <c r="N21" i="13"/>
  <c r="M21" i="13"/>
  <c r="L21" i="13"/>
  <c r="M15" i="13"/>
  <c r="L15" i="13"/>
  <c r="N15" i="13"/>
  <c r="M18" i="13"/>
  <c r="L18" i="13"/>
  <c r="N18" i="13"/>
  <c r="N20" i="13"/>
  <c r="M20" i="13"/>
  <c r="M17" i="13"/>
  <c r="L17" i="13"/>
  <c r="N17" i="13"/>
  <c r="L3" i="13"/>
  <c r="N3" i="13"/>
  <c r="M3" i="13"/>
  <c r="G22" i="13"/>
  <c r="N22" i="13"/>
  <c r="M22" i="13"/>
  <c r="L22" i="13"/>
  <c r="L13" i="13"/>
  <c r="N13" i="13"/>
  <c r="M13" i="13"/>
  <c r="M7" i="13"/>
  <c r="L7" i="13"/>
  <c r="N7" i="13"/>
  <c r="L10" i="13"/>
  <c r="M10" i="13"/>
  <c r="N10" i="13"/>
  <c r="M4" i="13"/>
  <c r="N4" i="13"/>
  <c r="L4" i="13"/>
  <c r="M5" i="13"/>
  <c r="N5" i="13"/>
  <c r="L5" i="13"/>
  <c r="M14" i="13"/>
  <c r="L14" i="13"/>
  <c r="N14" i="13"/>
  <c r="L12" i="13"/>
  <c r="M12" i="13"/>
  <c r="N12" i="13"/>
  <c r="N11" i="13"/>
  <c r="M11" i="13"/>
  <c r="L11" i="13"/>
  <c r="I15" i="18"/>
  <c r="I13" i="18"/>
  <c r="I17" i="18"/>
  <c r="I12" i="18"/>
  <c r="I10" i="18"/>
  <c r="I8" i="18"/>
  <c r="X53" i="1" a="1"/>
  <c r="X53" i="1" s="1"/>
  <c r="AA99" i="1"/>
  <c r="G103" i="13" s="1"/>
  <c r="AA128" i="1"/>
  <c r="AA77" i="1"/>
  <c r="G79" i="13" s="1"/>
  <c r="X77" i="1" a="1"/>
  <c r="X77" i="1" s="1"/>
  <c r="AA97" i="1"/>
  <c r="G101" i="13" s="1"/>
  <c r="X97" i="1" a="1"/>
  <c r="X97" i="1" s="1"/>
  <c r="X99" i="1" a="1"/>
  <c r="X99" i="1" s="1"/>
  <c r="AA60" i="1"/>
  <c r="X60" i="1" a="1"/>
  <c r="X60" i="1" s="1"/>
  <c r="AA25" i="1"/>
  <c r="X25" i="1" a="1"/>
  <c r="X25" i="1" s="1"/>
  <c r="AA24" i="1"/>
  <c r="G45" i="13" s="1"/>
  <c r="X24" i="1" a="1"/>
  <c r="X24" i="1" s="1"/>
  <c r="W115" i="1"/>
  <c r="W95" i="1"/>
  <c r="W73" i="1"/>
  <c r="W67" i="1"/>
  <c r="W39" i="1"/>
  <c r="AB53" i="1" l="1"/>
  <c r="AC53" i="1" s="1"/>
  <c r="AB128" i="1"/>
  <c r="AC128" i="1" s="1"/>
  <c r="AB77" i="1"/>
  <c r="AC77" i="1" s="1"/>
  <c r="AB97" i="1"/>
  <c r="AC97" i="1" s="1"/>
  <c r="AB99" i="1"/>
  <c r="AC99" i="1" s="1"/>
  <c r="AB60" i="1"/>
  <c r="AC60" i="1" s="1"/>
  <c r="AB25" i="1"/>
  <c r="AC25" i="1" s="1"/>
  <c r="AB24" i="1"/>
  <c r="AC24" i="1" s="1"/>
  <c r="V87" i="10" l="1"/>
  <c r="Y80" i="10"/>
  <c r="Y78" i="10"/>
  <c r="Y79" i="10"/>
  <c r="Y87" i="10"/>
  <c r="V75" i="10"/>
  <c r="V78" i="10" l="1"/>
  <c r="Y70" i="10"/>
  <c r="Y71" i="10"/>
  <c r="Y72" i="10"/>
  <c r="Y73" i="10"/>
  <c r="Y74" i="10"/>
  <c r="Y88" i="10"/>
  <c r="Y89" i="10"/>
  <c r="Y90" i="10"/>
  <c r="Y91" i="10"/>
  <c r="Y92" i="10"/>
  <c r="Y69" i="10"/>
  <c r="X82" i="10"/>
  <c r="X83" i="10"/>
  <c r="X84" i="10"/>
  <c r="X85" i="10"/>
  <c r="X86" i="10"/>
  <c r="X81" i="10"/>
  <c r="X76" i="10"/>
  <c r="X70" i="10"/>
  <c r="X71" i="10"/>
  <c r="X72" i="10"/>
  <c r="X73" i="10"/>
  <c r="X74" i="10"/>
  <c r="X69" i="10"/>
  <c r="R92" i="10"/>
  <c r="R91" i="10"/>
  <c r="R90" i="10"/>
  <c r="R89" i="10"/>
  <c r="R88" i="10"/>
  <c r="R81" i="10"/>
  <c r="R75" i="10"/>
  <c r="R69" i="10"/>
  <c r="T64" i="1"/>
  <c r="W43" i="1"/>
  <c r="Z43" i="1"/>
  <c r="X42" i="1" l="1" a="1"/>
  <c r="X42" i="1" s="1"/>
  <c r="X22" i="10"/>
  <c r="X7" i="10"/>
  <c r="X6" i="10"/>
  <c r="Y26" i="10"/>
  <c r="Y23" i="10"/>
  <c r="Y22" i="10"/>
  <c r="Y10" i="10"/>
  <c r="Y11" i="10"/>
  <c r="Y12" i="10"/>
  <c r="Y9" i="10"/>
  <c r="X26" i="10"/>
  <c r="X25" i="10"/>
  <c r="X24" i="10"/>
  <c r="X23" i="10"/>
  <c r="U24" i="10"/>
  <c r="U22" i="10"/>
  <c r="U21" i="10"/>
  <c r="X21" i="10" s="1"/>
  <c r="U20" i="10"/>
  <c r="X20" i="10" s="1"/>
  <c r="U19" i="10"/>
  <c r="X19" i="10" s="1"/>
  <c r="Y15" i="10"/>
  <c r="Y16" i="10"/>
  <c r="Y17" i="10"/>
  <c r="Y14" i="10"/>
  <c r="X15" i="10"/>
  <c r="X16" i="10"/>
  <c r="X17" i="10"/>
  <c r="X14" i="10"/>
  <c r="U18" i="10"/>
  <c r="X18" i="10" s="1"/>
  <c r="U14" i="10"/>
  <c r="U13" i="10"/>
  <c r="X13" i="10" s="1"/>
  <c r="U9" i="10"/>
  <c r="U8" i="10"/>
  <c r="X8" i="10" s="1"/>
  <c r="H94" i="10"/>
  <c r="S92" i="10" s="1"/>
  <c r="V92" i="10" s="1"/>
  <c r="H93" i="10"/>
  <c r="S91" i="10" s="1"/>
  <c r="V91" i="10" s="1"/>
  <c r="H92" i="10"/>
  <c r="S90" i="10" s="1"/>
  <c r="V90" i="10" s="1"/>
  <c r="H91" i="10"/>
  <c r="S89" i="10" s="1"/>
  <c r="V89" i="10" s="1"/>
  <c r="H90" i="10"/>
  <c r="S88" i="10" s="1"/>
  <c r="V88" i="10" s="1"/>
  <c r="K89" i="10"/>
  <c r="Y86" i="10" s="1"/>
  <c r="K88" i="10"/>
  <c r="Y85" i="10" s="1"/>
  <c r="K87" i="10"/>
  <c r="Y84" i="10" s="1"/>
  <c r="K86" i="10"/>
  <c r="Y83" i="10" s="1"/>
  <c r="K85" i="10"/>
  <c r="Y82" i="10" s="1"/>
  <c r="K84" i="10"/>
  <c r="Y81" i="10" s="1"/>
  <c r="H76" i="10"/>
  <c r="S75" i="10" s="1"/>
  <c r="H69" i="10"/>
  <c r="N58" i="10"/>
  <c r="N57" i="10"/>
  <c r="K55" i="10"/>
  <c r="K54" i="10"/>
  <c r="V21" i="10" s="1"/>
  <c r="Y21" i="10" s="1"/>
  <c r="K53" i="10"/>
  <c r="V20" i="10" s="1"/>
  <c r="Y20" i="10" s="1"/>
  <c r="K51" i="10"/>
  <c r="K48" i="10"/>
  <c r="K44" i="10"/>
  <c r="K40" i="10"/>
  <c r="W48" i="16" s="1"/>
  <c r="K36" i="10"/>
  <c r="N33" i="10"/>
  <c r="N32" i="10"/>
  <c r="N31" i="10"/>
  <c r="N30" i="10"/>
  <c r="N29" i="10"/>
  <c r="N28" i="10"/>
  <c r="N26" i="10"/>
  <c r="N25" i="10"/>
  <c r="N24" i="10"/>
  <c r="N23" i="10"/>
  <c r="K22" i="10"/>
  <c r="C22" i="10"/>
  <c r="B22" i="10"/>
  <c r="K19" i="10"/>
  <c r="K15" i="10"/>
  <c r="Y5" i="10" s="1"/>
  <c r="B15" i="10"/>
  <c r="O36" i="10" s="1"/>
  <c r="K11" i="10"/>
  <c r="K7" i="10"/>
  <c r="K3" i="10"/>
  <c r="AA61" i="1"/>
  <c r="G13" i="13" s="1"/>
  <c r="G87" i="21" l="1"/>
  <c r="W2" i="16"/>
  <c r="G92" i="21"/>
  <c r="H92" i="21" s="1"/>
  <c r="G121" i="21"/>
  <c r="W75" i="16"/>
  <c r="AA75" i="16" s="1"/>
  <c r="G93" i="21"/>
  <c r="H93" i="21" s="1"/>
  <c r="W65" i="16"/>
  <c r="W51" i="16"/>
  <c r="W42" i="16"/>
  <c r="AA42" i="16" s="1"/>
  <c r="W45" i="16"/>
  <c r="W31" i="16"/>
  <c r="W28" i="16"/>
  <c r="AA28" i="16" s="1"/>
  <c r="W36" i="16"/>
  <c r="AA36" i="16" s="1"/>
  <c r="W28" i="1"/>
  <c r="AA28" i="1" s="1"/>
  <c r="G48" i="13" s="1"/>
  <c r="W36" i="1"/>
  <c r="AA36" i="1" s="1"/>
  <c r="G52" i="13" s="1"/>
  <c r="W57" i="16"/>
  <c r="AA57" i="16" s="1"/>
  <c r="W56" i="16"/>
  <c r="Y25" i="10"/>
  <c r="W32" i="16"/>
  <c r="AA32" i="16" s="1"/>
  <c r="W23" i="16"/>
  <c r="W37" i="16"/>
  <c r="W37" i="1"/>
  <c r="W23" i="1"/>
  <c r="W32" i="1"/>
  <c r="AA32" i="1" s="1"/>
  <c r="G43" i="13" s="1"/>
  <c r="W5" i="16"/>
  <c r="AA5" i="16" s="1"/>
  <c r="H59" i="13"/>
  <c r="H58" i="13"/>
  <c r="AA48" i="16"/>
  <c r="X48" i="16" a="1"/>
  <c r="X48" i="16" s="1"/>
  <c r="AB48" i="16" s="1"/>
  <c r="AC48" i="16" s="1"/>
  <c r="W49" i="16"/>
  <c r="AA49" i="16" s="1"/>
  <c r="W60" i="16"/>
  <c r="W18" i="16"/>
  <c r="W47" i="16"/>
  <c r="W22" i="16"/>
  <c r="W80" i="16"/>
  <c r="W74" i="1"/>
  <c r="W116" i="16"/>
  <c r="W132" i="16"/>
  <c r="W106" i="1"/>
  <c r="W120" i="1"/>
  <c r="W134" i="16"/>
  <c r="W128" i="16"/>
  <c r="AA128" i="16" s="1"/>
  <c r="W117" i="1"/>
  <c r="W122" i="1"/>
  <c r="W81" i="16"/>
  <c r="AA81" i="16" s="1"/>
  <c r="W73" i="16"/>
  <c r="W75" i="1"/>
  <c r="W69" i="1"/>
  <c r="W137" i="16"/>
  <c r="AA137" i="16" s="1"/>
  <c r="W118" i="16"/>
  <c r="W126" i="1"/>
  <c r="AA126" i="1" s="1"/>
  <c r="G39" i="13" s="1"/>
  <c r="W125" i="1"/>
  <c r="W108" i="1"/>
  <c r="AA108" i="1" s="1"/>
  <c r="G29" i="13" s="1"/>
  <c r="W119" i="1"/>
  <c r="AA127" i="1"/>
  <c r="S69" i="10"/>
  <c r="V9" i="10"/>
  <c r="W48" i="1"/>
  <c r="AA48" i="1" s="1"/>
  <c r="G10" i="13" s="1"/>
  <c r="W46" i="1"/>
  <c r="AA46" i="1" s="1"/>
  <c r="G8" i="13" s="1"/>
  <c r="W22" i="1"/>
  <c r="W18" i="1"/>
  <c r="W59" i="1"/>
  <c r="AA59" i="1" s="1"/>
  <c r="V13" i="10"/>
  <c r="Y13" i="10" s="1"/>
  <c r="W47" i="1"/>
  <c r="AA47" i="1" s="1"/>
  <c r="G9" i="13" s="1"/>
  <c r="V22" i="10"/>
  <c r="W5" i="1"/>
  <c r="Y24" i="10"/>
  <c r="W31" i="1"/>
  <c r="V14" i="10"/>
  <c r="V19" i="10"/>
  <c r="Y19" i="10" s="1"/>
  <c r="W63" i="1"/>
  <c r="W64" i="1" s="1"/>
  <c r="W56" i="1"/>
  <c r="AA56" i="1" s="1"/>
  <c r="G18" i="13" s="1"/>
  <c r="W55" i="1"/>
  <c r="X55" i="1" s="1"/>
  <c r="W42" i="1"/>
  <c r="AA42" i="1" s="1"/>
  <c r="G16" i="13" s="1"/>
  <c r="W44" i="1"/>
  <c r="V3" i="10"/>
  <c r="Y6" i="10"/>
  <c r="Y4" i="10"/>
  <c r="Y3" i="10"/>
  <c r="H44" i="10"/>
  <c r="O25" i="10"/>
  <c r="V18" i="10"/>
  <c r="L7" i="10"/>
  <c r="O14" i="10"/>
  <c r="O24" i="10"/>
  <c r="O38" i="10"/>
  <c r="C8" i="10"/>
  <c r="O26" i="10"/>
  <c r="L40" i="10"/>
  <c r="O57" i="10"/>
  <c r="L15" i="10"/>
  <c r="O8" i="10"/>
  <c r="O17" i="10"/>
  <c r="O27" i="10"/>
  <c r="O40" i="10"/>
  <c r="O58" i="10"/>
  <c r="C9" i="10"/>
  <c r="O28" i="10"/>
  <c r="C3" i="10"/>
  <c r="O18" i="10"/>
  <c r="C10" i="10"/>
  <c r="L19" i="10"/>
  <c r="O29" i="10"/>
  <c r="L44" i="10"/>
  <c r="L11" i="10"/>
  <c r="O20" i="10"/>
  <c r="O30" i="10"/>
  <c r="L48" i="10"/>
  <c r="C4" i="10"/>
  <c r="C12" i="10"/>
  <c r="O21" i="10"/>
  <c r="O50" i="10"/>
  <c r="L51" i="10"/>
  <c r="O12" i="10"/>
  <c r="C5" i="10"/>
  <c r="C13" i="10"/>
  <c r="O51" i="10"/>
  <c r="O39" i="10"/>
  <c r="O4" i="10"/>
  <c r="O6" i="10"/>
  <c r="O13" i="10"/>
  <c r="L22" i="10"/>
  <c r="O52" i="10"/>
  <c r="V6" i="10"/>
  <c r="O7" i="10"/>
  <c r="O3" i="10"/>
  <c r="C7" i="10"/>
  <c r="C14" i="10"/>
  <c r="O37" i="10"/>
  <c r="K57" i="10"/>
  <c r="L54" i="10"/>
  <c r="O22" i="10"/>
  <c r="O31" i="10"/>
  <c r="O44" i="10"/>
  <c r="O54" i="10"/>
  <c r="O32" i="10"/>
  <c r="O45" i="10"/>
  <c r="L55" i="10"/>
  <c r="O33" i="10"/>
  <c r="O46" i="10"/>
  <c r="O55" i="10"/>
  <c r="O9" i="10"/>
  <c r="O15" i="10"/>
  <c r="L36" i="10"/>
  <c r="O47" i="10"/>
  <c r="O56" i="10"/>
  <c r="O19" i="10"/>
  <c r="O41" i="10"/>
  <c r="O53" i="10"/>
  <c r="K23" i="10"/>
  <c r="L53" i="10"/>
  <c r="H84" i="10"/>
  <c r="H95" i="10" s="1"/>
  <c r="O5" i="10"/>
  <c r="O10" i="10"/>
  <c r="O23" i="10"/>
  <c r="K29" i="10"/>
  <c r="W53" i="16" s="1"/>
  <c r="AA53" i="16" s="1"/>
  <c r="O34" i="10"/>
  <c r="O42" i="10"/>
  <c r="O48" i="10"/>
  <c r="C6" i="10"/>
  <c r="C11" i="10"/>
  <c r="O35" i="10"/>
  <c r="O43" i="10"/>
  <c r="O49" i="10"/>
  <c r="O59" i="10"/>
  <c r="L3" i="10"/>
  <c r="O11" i="10"/>
  <c r="O16" i="10"/>
  <c r="R185" i="3"/>
  <c r="U41" i="3"/>
  <c r="U40" i="3"/>
  <c r="U39" i="3"/>
  <c r="U38" i="3"/>
  <c r="U37" i="3"/>
  <c r="U36" i="3"/>
  <c r="U34" i="3"/>
  <c r="U24" i="3"/>
  <c r="U19" i="3"/>
  <c r="U15" i="3"/>
  <c r="U14" i="3"/>
  <c r="U8" i="3"/>
  <c r="U7" i="3"/>
  <c r="U3" i="3"/>
  <c r="U5" i="3"/>
  <c r="U23" i="3"/>
  <c r="U16" i="3"/>
  <c r="U12" i="3"/>
  <c r="U10" i="3"/>
  <c r="AA65" i="16" l="1"/>
  <c r="X65" i="16" a="1"/>
  <c r="X65" i="16" s="1"/>
  <c r="G112" i="21"/>
  <c r="X2" i="16" a="1"/>
  <c r="X2" i="16" s="1"/>
  <c r="AB2" i="16" s="1"/>
  <c r="AC2" i="16" s="1"/>
  <c r="AA2" i="16"/>
  <c r="H68" i="21"/>
  <c r="I75" i="21" s="1"/>
  <c r="G109" i="21"/>
  <c r="H121" i="21" s="1"/>
  <c r="H89" i="21"/>
  <c r="H91" i="21"/>
  <c r="H90" i="21"/>
  <c r="H88" i="21"/>
  <c r="G94" i="21"/>
  <c r="H94" i="21" s="1"/>
  <c r="H73" i="21"/>
  <c r="H70" i="21"/>
  <c r="I70" i="21" s="1"/>
  <c r="H72" i="21"/>
  <c r="I72" i="21" s="1"/>
  <c r="X119" i="1"/>
  <c r="AA119" i="1"/>
  <c r="G38" i="13" s="1"/>
  <c r="H84" i="13"/>
  <c r="H73" i="13"/>
  <c r="H69" i="13"/>
  <c r="H67" i="13"/>
  <c r="H78" i="13"/>
  <c r="H82" i="13"/>
  <c r="H72" i="13"/>
  <c r="H76" i="13"/>
  <c r="H83" i="13"/>
  <c r="H81" i="13"/>
  <c r="H79" i="13"/>
  <c r="AA134" i="16"/>
  <c r="X134" i="16" a="1"/>
  <c r="X134" i="16" s="1"/>
  <c r="AB134" i="16" s="1"/>
  <c r="AC134" i="16" s="1"/>
  <c r="W52" i="1"/>
  <c r="AA52" i="1" s="1"/>
  <c r="G20" i="13" s="1"/>
  <c r="W50" i="16"/>
  <c r="X130" i="16"/>
  <c r="AA130" i="16"/>
  <c r="X18" i="16" a="1"/>
  <c r="X18" i="16" s="1"/>
  <c r="AB18" i="16" s="1"/>
  <c r="AC18" i="16" s="1"/>
  <c r="AA18" i="16"/>
  <c r="AA56" i="16"/>
  <c r="X56" i="16"/>
  <c r="AB56" i="16" s="1"/>
  <c r="AC56" i="16" s="1"/>
  <c r="X57" i="16" s="1" a="1"/>
  <c r="X57" i="16" s="1"/>
  <c r="AB57" i="16" s="1"/>
  <c r="AC57" i="16" s="1"/>
  <c r="X58" i="16" s="1" a="1"/>
  <c r="X58" i="16" s="1"/>
  <c r="AB58" i="16" s="1"/>
  <c r="AC58" i="16" s="1"/>
  <c r="I9" i="18"/>
  <c r="X60" i="16" a="1"/>
  <c r="X60" i="16" s="1"/>
  <c r="AB60" i="16" s="1"/>
  <c r="AC60" i="16" s="1"/>
  <c r="AA60" i="16"/>
  <c r="W68" i="16"/>
  <c r="AA68" i="16" s="1"/>
  <c r="X67" i="16" a="1"/>
  <c r="X67" i="16" s="1"/>
  <c r="AB67" i="16" s="1"/>
  <c r="AC67" i="16" s="1"/>
  <c r="X68" i="16" s="1" a="1"/>
  <c r="X68" i="16" s="1"/>
  <c r="AB68" i="16" s="1"/>
  <c r="AC68" i="16" s="1"/>
  <c r="AA67" i="16"/>
  <c r="H52" i="13"/>
  <c r="AA118" i="16"/>
  <c r="X118" i="16" a="1"/>
  <c r="X118" i="16" s="1"/>
  <c r="AB118" i="16" s="1"/>
  <c r="AC118" i="16" s="1"/>
  <c r="X5" i="16" a="1"/>
  <c r="X5" i="16" s="1"/>
  <c r="X132" i="16" a="1"/>
  <c r="X132" i="16" s="1"/>
  <c r="AB132" i="16" s="1"/>
  <c r="AC132" i="16" s="1"/>
  <c r="AA132" i="16"/>
  <c r="H48" i="13"/>
  <c r="AA125" i="1"/>
  <c r="G24" i="13" s="1"/>
  <c r="I4" i="18" s="1"/>
  <c r="H46" i="13"/>
  <c r="H49" i="13"/>
  <c r="H51" i="13"/>
  <c r="H41" i="13"/>
  <c r="H54" i="13"/>
  <c r="H45" i="13"/>
  <c r="X80" i="16" a="1"/>
  <c r="X80" i="16" s="1"/>
  <c r="AB80" i="16" s="1"/>
  <c r="AC80" i="16" s="1"/>
  <c r="AA80" i="16"/>
  <c r="AA37" i="16"/>
  <c r="X37" i="16" a="1"/>
  <c r="X37" i="16" s="1"/>
  <c r="AB37" i="16" s="1"/>
  <c r="AC37" i="16" s="1"/>
  <c r="AA31" i="16"/>
  <c r="X31" i="16" a="1"/>
  <c r="X31" i="16" s="1"/>
  <c r="AB31" i="16" s="1"/>
  <c r="AC31" i="16" s="1"/>
  <c r="H43" i="13"/>
  <c r="X116" i="16" a="1"/>
  <c r="X116" i="16" s="1"/>
  <c r="AB116" i="16" s="1"/>
  <c r="AC116" i="16" s="1"/>
  <c r="X137" i="16" s="1" a="1"/>
  <c r="X137" i="16" s="1"/>
  <c r="AA116" i="16"/>
  <c r="AA73" i="16"/>
  <c r="X73" i="16" a="1"/>
  <c r="X73" i="16" s="1"/>
  <c r="AA22" i="16"/>
  <c r="X22" i="16" a="1"/>
  <c r="X22" i="16" s="1"/>
  <c r="AB22" i="16" s="1"/>
  <c r="AC22" i="16" s="1"/>
  <c r="AA23" i="16"/>
  <c r="X23" i="16" a="1"/>
  <c r="X23" i="16" s="1"/>
  <c r="AB23" i="16" s="1"/>
  <c r="AC23" i="16" s="1"/>
  <c r="X84" i="16" s="1" a="1"/>
  <c r="X84" i="16" s="1"/>
  <c r="AB84" i="16" s="1"/>
  <c r="AC84" i="16" s="1"/>
  <c r="AA45" i="16"/>
  <c r="X45" i="16"/>
  <c r="AB45" i="16" s="1"/>
  <c r="AC45" i="16" s="1"/>
  <c r="AA47" i="16"/>
  <c r="X47" i="16" a="1"/>
  <c r="X47" i="16" s="1"/>
  <c r="AB47" i="16" s="1"/>
  <c r="AC47" i="16" s="1"/>
  <c r="AB127" i="1"/>
  <c r="AC127" i="1" s="1"/>
  <c r="I95" i="10"/>
  <c r="AA69" i="1"/>
  <c r="G70" i="13" s="1"/>
  <c r="X69" i="1" a="1"/>
  <c r="X69" i="1" s="1"/>
  <c r="AB69" i="1" s="1"/>
  <c r="AC69" i="1" s="1"/>
  <c r="V8" i="10"/>
  <c r="S8" i="10" s="1"/>
  <c r="W49" i="1"/>
  <c r="AA49" i="1" s="1"/>
  <c r="G11" i="13" s="1"/>
  <c r="V69" i="10"/>
  <c r="L91" i="10"/>
  <c r="S81" i="10"/>
  <c r="V81" i="10" s="1"/>
  <c r="L79" i="10"/>
  <c r="L85" i="10"/>
  <c r="Y18" i="10"/>
  <c r="I76" i="10"/>
  <c r="T75" i="10" s="1"/>
  <c r="S14" i="10"/>
  <c r="L89" i="10"/>
  <c r="L57" i="10"/>
  <c r="V24" i="10"/>
  <c r="I91" i="10"/>
  <c r="T89" i="10" s="1"/>
  <c r="W89" i="10" s="1"/>
  <c r="H51" i="10"/>
  <c r="L93" i="10"/>
  <c r="L87" i="10"/>
  <c r="L78" i="10"/>
  <c r="H3" i="10"/>
  <c r="V7" i="10"/>
  <c r="V29" i="10" s="1"/>
  <c r="C15" i="10"/>
  <c r="I94" i="10"/>
  <c r="T92" i="10" s="1"/>
  <c r="W92" i="10" s="1"/>
  <c r="L77" i="10"/>
  <c r="L86" i="10"/>
  <c r="L69" i="10"/>
  <c r="I69" i="10"/>
  <c r="T69" i="10" s="1"/>
  <c r="W69" i="10" s="1"/>
  <c r="L75" i="10"/>
  <c r="I93" i="10"/>
  <c r="T91" i="10" s="1"/>
  <c r="W91" i="10" s="1"/>
  <c r="I90" i="10"/>
  <c r="T88" i="10" s="1"/>
  <c r="W88" i="10" s="1"/>
  <c r="L76" i="10"/>
  <c r="L90" i="10"/>
  <c r="L72" i="10"/>
  <c r="L94" i="10"/>
  <c r="L73" i="10"/>
  <c r="L71" i="10"/>
  <c r="L70" i="10"/>
  <c r="L83" i="10"/>
  <c r="L82" i="10"/>
  <c r="L81" i="10"/>
  <c r="I84" i="10"/>
  <c r="T81" i="10" s="1"/>
  <c r="W81" i="10" s="1"/>
  <c r="L92" i="10"/>
  <c r="L80" i="10"/>
  <c r="L84" i="10"/>
  <c r="I92" i="10"/>
  <c r="T90" i="10" s="1"/>
  <c r="W90" i="10" s="1"/>
  <c r="L23" i="10"/>
  <c r="L74" i="10"/>
  <c r="L88" i="10"/>
  <c r="L29" i="10"/>
  <c r="H29" i="10"/>
  <c r="AA55" i="1"/>
  <c r="G17" i="13" s="1"/>
  <c r="V158" i="3" a="1"/>
  <c r="V158" i="3" s="1"/>
  <c r="Z158" i="3" s="1"/>
  <c r="AA158" i="3" s="1"/>
  <c r="V157" i="3" a="1"/>
  <c r="V157" i="3" s="1"/>
  <c r="V156" i="3" a="1"/>
  <c r="V156" i="3" s="1"/>
  <c r="V155" i="3" a="1"/>
  <c r="V155" i="3" s="1"/>
  <c r="V154" i="3" a="1"/>
  <c r="V154" i="3" s="1"/>
  <c r="Z154" i="3" s="1"/>
  <c r="V153" i="3" a="1"/>
  <c r="V153" i="3" s="1"/>
  <c r="Z153" i="3" s="1"/>
  <c r="AA153" i="3" s="1"/>
  <c r="V152" i="3" a="1"/>
  <c r="V152" i="3" s="1"/>
  <c r="Z152" i="3" s="1"/>
  <c r="V151" i="3" a="1"/>
  <c r="V151" i="3" s="1"/>
  <c r="V150" i="3" a="1"/>
  <c r="V150" i="3" s="1"/>
  <c r="Z150" i="3" s="1"/>
  <c r="AA150" i="3" s="1"/>
  <c r="V149" i="3" a="1"/>
  <c r="V149" i="3" s="1"/>
  <c r="Z149" i="3" s="1"/>
  <c r="V148" i="3" a="1"/>
  <c r="V148" i="3" s="1"/>
  <c r="V147" i="3" a="1"/>
  <c r="V147" i="3" s="1"/>
  <c r="V146" i="3" a="1"/>
  <c r="V146" i="3" s="1"/>
  <c r="Z146" i="3" s="1"/>
  <c r="V145" i="3" a="1"/>
  <c r="V145" i="3" s="1"/>
  <c r="Z145" i="3" s="1"/>
  <c r="AA145" i="3" s="1"/>
  <c r="V144" i="3" a="1"/>
  <c r="V144" i="3" s="1"/>
  <c r="V143" i="3" a="1"/>
  <c r="V143" i="3" s="1"/>
  <c r="V142" i="3" a="1"/>
  <c r="V142" i="3" s="1"/>
  <c r="Z142" i="3" s="1"/>
  <c r="AA142" i="3" s="1"/>
  <c r="V141" i="3" a="1"/>
  <c r="V141" i="3" s="1"/>
  <c r="V140" i="3" a="1"/>
  <c r="V140" i="3" s="1"/>
  <c r="V139" i="3" a="1"/>
  <c r="V139" i="3" s="1"/>
  <c r="V138" i="3" a="1"/>
  <c r="V138" i="3" s="1"/>
  <c r="Z138" i="3" s="1"/>
  <c r="V137" i="3" a="1"/>
  <c r="V137" i="3" s="1"/>
  <c r="Z137" i="3" s="1"/>
  <c r="AA137" i="3" s="1"/>
  <c r="V136" i="3" a="1"/>
  <c r="V136" i="3" s="1"/>
  <c r="Z136" i="3" s="1"/>
  <c r="V135" i="3" a="1"/>
  <c r="V135" i="3" s="1"/>
  <c r="V134" i="3" a="1"/>
  <c r="V134" i="3" s="1"/>
  <c r="Z134" i="3" s="1"/>
  <c r="V133" i="3" a="1"/>
  <c r="V133" i="3" s="1"/>
  <c r="V132" i="3" a="1"/>
  <c r="V132" i="3" s="1"/>
  <c r="V131" i="3" a="1"/>
  <c r="V131" i="3" s="1"/>
  <c r="V130" i="3" a="1"/>
  <c r="V130" i="3" s="1"/>
  <c r="Z130" i="3" s="1"/>
  <c r="V129" i="3" a="1"/>
  <c r="V129" i="3" s="1"/>
  <c r="Z129" i="3" s="1"/>
  <c r="AA129" i="3" s="1"/>
  <c r="V128" i="3" a="1"/>
  <c r="V128" i="3" s="1"/>
  <c r="Z128" i="3" s="1"/>
  <c r="V127" i="3" a="1"/>
  <c r="V127" i="3" s="1"/>
  <c r="V126" i="3" a="1"/>
  <c r="V126" i="3" s="1"/>
  <c r="V125" i="3" a="1"/>
  <c r="V125" i="3" s="1"/>
  <c r="V124" i="3" a="1"/>
  <c r="V124" i="3" s="1"/>
  <c r="V123" i="3" a="1"/>
  <c r="V123" i="3" s="1"/>
  <c r="V122" i="3" a="1"/>
  <c r="V122" i="3" s="1"/>
  <c r="Z122" i="3" s="1"/>
  <c r="V121" i="3" a="1"/>
  <c r="V121" i="3" s="1"/>
  <c r="Z121" i="3" s="1"/>
  <c r="AA121" i="3" s="1"/>
  <c r="V120" i="3" a="1"/>
  <c r="V120" i="3" s="1"/>
  <c r="Z120" i="3" s="1"/>
  <c r="V119" i="3" a="1"/>
  <c r="V119" i="3" s="1"/>
  <c r="V118" i="3" a="1"/>
  <c r="V118" i="3" s="1"/>
  <c r="Z118" i="3" s="1"/>
  <c r="V117" i="3" a="1"/>
  <c r="V117" i="3" s="1"/>
  <c r="Z117" i="3" s="1"/>
  <c r="AA117" i="3" s="1"/>
  <c r="V116" i="3" a="1"/>
  <c r="V116" i="3" s="1"/>
  <c r="V115" i="3" a="1"/>
  <c r="V115" i="3" s="1"/>
  <c r="V114" i="3" a="1"/>
  <c r="V114" i="3" s="1"/>
  <c r="Z114" i="3" s="1"/>
  <c r="V113" i="3" a="1"/>
  <c r="V113" i="3" s="1"/>
  <c r="Z113" i="3" s="1"/>
  <c r="AA113" i="3" s="1"/>
  <c r="V112" i="3" a="1"/>
  <c r="V112" i="3" s="1"/>
  <c r="V111" i="3" a="1"/>
  <c r="V111" i="3" s="1"/>
  <c r="V110" i="3" a="1"/>
  <c r="V110" i="3" s="1"/>
  <c r="V109" i="3" a="1"/>
  <c r="V109" i="3" s="1"/>
  <c r="V108" i="3" a="1"/>
  <c r="V108" i="3" s="1"/>
  <c r="V107" i="3" a="1"/>
  <c r="V107" i="3" s="1"/>
  <c r="V106" i="3" a="1"/>
  <c r="V106" i="3" s="1"/>
  <c r="Z106" i="3" s="1"/>
  <c r="V105" i="3" a="1"/>
  <c r="V105" i="3" s="1"/>
  <c r="Z105" i="3" s="1"/>
  <c r="AA105" i="3" s="1"/>
  <c r="V104" i="3" a="1"/>
  <c r="V104" i="3" s="1"/>
  <c r="Z104" i="3" s="1"/>
  <c r="V103" i="3" a="1"/>
  <c r="V103" i="3" s="1"/>
  <c r="V102" i="3" a="1"/>
  <c r="V102" i="3" s="1"/>
  <c r="V101" i="3" a="1"/>
  <c r="V101" i="3" s="1"/>
  <c r="V100" i="3" a="1"/>
  <c r="V100" i="3" s="1"/>
  <c r="V99" i="3" a="1"/>
  <c r="V99" i="3" s="1"/>
  <c r="V98" i="3" a="1"/>
  <c r="V98" i="3" s="1"/>
  <c r="Z98" i="3" s="1"/>
  <c r="V97" i="3" a="1"/>
  <c r="V97" i="3" s="1"/>
  <c r="Z97" i="3" s="1"/>
  <c r="AA97" i="3" s="1"/>
  <c r="V96" i="3" a="1"/>
  <c r="V96" i="3" s="1"/>
  <c r="Z96" i="3" s="1"/>
  <c r="V95" i="3" a="1"/>
  <c r="V95" i="3" s="1"/>
  <c r="V94" i="3" a="1"/>
  <c r="V94" i="3" s="1"/>
  <c r="Z94" i="3" s="1"/>
  <c r="V93" i="3" a="1"/>
  <c r="V93" i="3" s="1"/>
  <c r="V92" i="3" a="1"/>
  <c r="V92" i="3" s="1"/>
  <c r="V91" i="3" a="1"/>
  <c r="V91" i="3" s="1"/>
  <c r="V90" i="3" a="1"/>
  <c r="V90" i="3" s="1"/>
  <c r="Z90" i="3" s="1"/>
  <c r="V89" i="3" a="1"/>
  <c r="V89" i="3" s="1"/>
  <c r="V88" i="3" a="1"/>
  <c r="V88" i="3" s="1"/>
  <c r="Z88" i="3" s="1"/>
  <c r="V87" i="3" a="1"/>
  <c r="V87" i="3" s="1"/>
  <c r="V86" i="3" a="1"/>
  <c r="V86" i="3" s="1"/>
  <c r="Z86" i="3" s="1"/>
  <c r="V85" i="3" a="1"/>
  <c r="V85" i="3" s="1"/>
  <c r="Z85" i="3" s="1"/>
  <c r="V84" i="3" a="1"/>
  <c r="V84" i="3" s="1"/>
  <c r="V83" i="3" a="1"/>
  <c r="V83" i="3" s="1"/>
  <c r="V82" i="3" a="1"/>
  <c r="V82" i="3" s="1"/>
  <c r="Z82" i="3" s="1"/>
  <c r="V81" i="3" a="1"/>
  <c r="V81" i="3" s="1"/>
  <c r="Z81" i="3" s="1"/>
  <c r="V80" i="3" a="1"/>
  <c r="V80" i="3" s="1"/>
  <c r="V79" i="3" a="1"/>
  <c r="V79" i="3" s="1"/>
  <c r="V78" i="3" a="1"/>
  <c r="V78" i="3" s="1"/>
  <c r="Z78" i="3" s="1"/>
  <c r="V77" i="3" a="1"/>
  <c r="V77" i="3" s="1"/>
  <c r="V76" i="3" a="1"/>
  <c r="V76" i="3" s="1"/>
  <c r="V75" i="3" a="1"/>
  <c r="V75" i="3" s="1"/>
  <c r="V74" i="3" a="1"/>
  <c r="V74" i="3" s="1"/>
  <c r="Z74" i="3" s="1"/>
  <c r="V73" i="3" a="1"/>
  <c r="V73" i="3" s="1"/>
  <c r="V72" i="3" a="1"/>
  <c r="V72" i="3" s="1"/>
  <c r="Z72" i="3" s="1"/>
  <c r="V71" i="3" a="1"/>
  <c r="V71" i="3" s="1"/>
  <c r="V70" i="3" a="1"/>
  <c r="V70" i="3" s="1"/>
  <c r="Z70" i="3" s="1"/>
  <c r="V69" i="3" a="1"/>
  <c r="V69" i="3" s="1"/>
  <c r="Z69" i="3" s="1"/>
  <c r="AA69" i="3" s="1"/>
  <c r="V68" i="3" a="1"/>
  <c r="V68" i="3" s="1"/>
  <c r="V67" i="3" a="1"/>
  <c r="V67" i="3" s="1"/>
  <c r="V66" i="3" a="1"/>
  <c r="V66" i="3" s="1"/>
  <c r="Z66" i="3" s="1"/>
  <c r="V65" i="3" a="1"/>
  <c r="V65" i="3" s="1"/>
  <c r="Z65" i="3" s="1"/>
  <c r="V64" i="3" a="1"/>
  <c r="V64" i="3" s="1"/>
  <c r="Z64" i="3" s="1"/>
  <c r="V63" i="3" a="1"/>
  <c r="V63" i="3" s="1"/>
  <c r="V62" i="3" a="1"/>
  <c r="V62" i="3" s="1"/>
  <c r="Z62" i="3" s="1"/>
  <c r="V61" i="3" a="1"/>
  <c r="V61" i="3" s="1"/>
  <c r="V60" i="3" a="1"/>
  <c r="V60" i="3" s="1"/>
  <c r="V59" i="3" a="1"/>
  <c r="V59" i="3" s="1"/>
  <c r="V58" i="3" a="1"/>
  <c r="V58" i="3" s="1"/>
  <c r="Z58" i="3" s="1"/>
  <c r="V57" i="3" a="1"/>
  <c r="V57" i="3" s="1"/>
  <c r="V56" i="3" a="1"/>
  <c r="V56" i="3" s="1"/>
  <c r="Z56" i="3" s="1"/>
  <c r="V55" i="3" a="1"/>
  <c r="V55" i="3" s="1"/>
  <c r="V54" i="3" a="1"/>
  <c r="V54" i="3" s="1"/>
  <c r="Z54" i="3" s="1"/>
  <c r="V53" i="3" a="1"/>
  <c r="V53" i="3" s="1"/>
  <c r="Z53" i="3" s="1"/>
  <c r="V52" i="3" a="1"/>
  <c r="V52" i="3" s="1"/>
  <c r="V51" i="3" a="1"/>
  <c r="V51" i="3" s="1"/>
  <c r="V50" i="3" a="1"/>
  <c r="V50" i="3" s="1"/>
  <c r="Z50" i="3" s="1"/>
  <c r="V49" i="3" a="1"/>
  <c r="V49" i="3" s="1"/>
  <c r="Z49" i="3" s="1"/>
  <c r="V48" i="3" a="1"/>
  <c r="V48" i="3" s="1"/>
  <c r="V47" i="3" a="1"/>
  <c r="V47" i="3" s="1"/>
  <c r="V46" i="3" a="1"/>
  <c r="V46" i="3" s="1"/>
  <c r="Z46" i="3" s="1"/>
  <c r="V45" i="3" a="1"/>
  <c r="V45" i="3" s="1"/>
  <c r="V44" i="3" a="1"/>
  <c r="V44" i="3" s="1"/>
  <c r="V43" i="3" a="1"/>
  <c r="V43" i="3" s="1"/>
  <c r="V42" i="3" a="1"/>
  <c r="V42" i="3" s="1"/>
  <c r="Z42" i="3" s="1"/>
  <c r="V38" i="3" a="1"/>
  <c r="V38" i="3" s="1"/>
  <c r="Z38" i="3" s="1"/>
  <c r="V36" i="3" a="1"/>
  <c r="V36" i="3" s="1"/>
  <c r="V35" i="3" a="1"/>
  <c r="V35" i="3" s="1"/>
  <c r="V34" i="3" a="1"/>
  <c r="V34" i="3" s="1"/>
  <c r="Z34" i="3" s="1"/>
  <c r="V33" i="3" a="1"/>
  <c r="V33" i="3" s="1"/>
  <c r="V32" i="3" a="1"/>
  <c r="V32" i="3" s="1"/>
  <c r="Z32" i="3" s="1"/>
  <c r="V31" i="3" a="1"/>
  <c r="V31" i="3" s="1"/>
  <c r="V30" i="3" a="1"/>
  <c r="V30" i="3" s="1"/>
  <c r="Z30" i="3" s="1"/>
  <c r="V29" i="3" a="1"/>
  <c r="V29" i="3" s="1"/>
  <c r="Z29" i="3" s="1"/>
  <c r="V28" i="3" a="1"/>
  <c r="V28" i="3" s="1"/>
  <c r="V27" i="3" a="1"/>
  <c r="V27" i="3" s="1"/>
  <c r="V26" i="3" a="1"/>
  <c r="V26" i="3" s="1"/>
  <c r="Z26" i="3" s="1"/>
  <c r="V25" i="3" a="1"/>
  <c r="V25" i="3" s="1"/>
  <c r="V24" i="3" a="1"/>
  <c r="V24" i="3" s="1"/>
  <c r="V22" i="3" a="1"/>
  <c r="V22" i="3" s="1"/>
  <c r="Z22" i="3" s="1"/>
  <c r="V21" i="3" a="1"/>
  <c r="V21" i="3" s="1"/>
  <c r="Z21" i="3" s="1"/>
  <c r="AA21" i="3" s="1"/>
  <c r="V20" i="3" a="1"/>
  <c r="V20" i="3" s="1"/>
  <c r="V18" i="3" a="1"/>
  <c r="V18" i="3" s="1"/>
  <c r="Z18" i="3" s="1"/>
  <c r="V17" i="3" a="1"/>
  <c r="V17" i="3" s="1"/>
  <c r="V13" i="3" a="1"/>
  <c r="V13" i="3" s="1"/>
  <c r="Z13" i="3" s="1"/>
  <c r="V12" i="3" a="1"/>
  <c r="V12" i="3" s="1"/>
  <c r="V11" i="3" a="1"/>
  <c r="V11" i="3" s="1"/>
  <c r="V10" i="3" a="1"/>
  <c r="V10" i="3" s="1"/>
  <c r="Z10" i="3" s="1"/>
  <c r="V9" i="3" a="1"/>
  <c r="V9" i="3" s="1"/>
  <c r="V8" i="3" a="1"/>
  <c r="V8" i="3" s="1"/>
  <c r="V7" i="3" a="1"/>
  <c r="V7" i="3" s="1"/>
  <c r="V6" i="3" a="1"/>
  <c r="V6" i="3" s="1"/>
  <c r="Z6" i="3" s="1"/>
  <c r="Y3" i="3"/>
  <c r="U4" i="3"/>
  <c r="Y4" i="3" s="1"/>
  <c r="V5" i="3" a="1"/>
  <c r="V5" i="3" s="1"/>
  <c r="Y6" i="3"/>
  <c r="Y7" i="3"/>
  <c r="Y8" i="3"/>
  <c r="Y9" i="3"/>
  <c r="Y10" i="3"/>
  <c r="Y11" i="3"/>
  <c r="Y12" i="3"/>
  <c r="Y13" i="3"/>
  <c r="Y14" i="3"/>
  <c r="Y15" i="3"/>
  <c r="Y16" i="3"/>
  <c r="Y17" i="3"/>
  <c r="Y18" i="3"/>
  <c r="Y19" i="3"/>
  <c r="Y20" i="3"/>
  <c r="Y21" i="3"/>
  <c r="Y22" i="3"/>
  <c r="Y23" i="3"/>
  <c r="Y24" i="3"/>
  <c r="Y25" i="3"/>
  <c r="Y26" i="3"/>
  <c r="Y27" i="3"/>
  <c r="Y28" i="3"/>
  <c r="Y29" i="3"/>
  <c r="Y30" i="3"/>
  <c r="Y31" i="3"/>
  <c r="Y32" i="3"/>
  <c r="Y33" i="3"/>
  <c r="Y34" i="3"/>
  <c r="Y35" i="3"/>
  <c r="Y36" i="3"/>
  <c r="Y37" i="3"/>
  <c r="Y38" i="3"/>
  <c r="Y39" i="3"/>
  <c r="Y40" i="3"/>
  <c r="Y41" i="3"/>
  <c r="Y42" i="3"/>
  <c r="Y43" i="3"/>
  <c r="Y44" i="3"/>
  <c r="Y45" i="3"/>
  <c r="Y46" i="3"/>
  <c r="Y47" i="3"/>
  <c r="Y48" i="3"/>
  <c r="Y49" i="3"/>
  <c r="Y50" i="3"/>
  <c r="Y51" i="3"/>
  <c r="Y52" i="3"/>
  <c r="Y53" i="3"/>
  <c r="Y54" i="3"/>
  <c r="Y55" i="3"/>
  <c r="Y56" i="3"/>
  <c r="Y57" i="3"/>
  <c r="Y58" i="3"/>
  <c r="Y59" i="3"/>
  <c r="Y60" i="3"/>
  <c r="Y61" i="3"/>
  <c r="Y62" i="3"/>
  <c r="Y63" i="3"/>
  <c r="Y64" i="3"/>
  <c r="Y65" i="3"/>
  <c r="Y66" i="3"/>
  <c r="Y67" i="3"/>
  <c r="Y68" i="3"/>
  <c r="Y69" i="3"/>
  <c r="Y70" i="3"/>
  <c r="Y71" i="3"/>
  <c r="Y72" i="3"/>
  <c r="Y73" i="3"/>
  <c r="Y74" i="3"/>
  <c r="Y75" i="3"/>
  <c r="Y76" i="3"/>
  <c r="Y77" i="3"/>
  <c r="Y78" i="3"/>
  <c r="Y79" i="3"/>
  <c r="Y80" i="3"/>
  <c r="Y81" i="3"/>
  <c r="Y82" i="3"/>
  <c r="Y83" i="3"/>
  <c r="Y84" i="3"/>
  <c r="Y85" i="3"/>
  <c r="Y86" i="3"/>
  <c r="Y87" i="3"/>
  <c r="Y88" i="3"/>
  <c r="Y89" i="3"/>
  <c r="Y90" i="3"/>
  <c r="Y91" i="3"/>
  <c r="Y92" i="3"/>
  <c r="Y93" i="3"/>
  <c r="Y94" i="3"/>
  <c r="Y95" i="3"/>
  <c r="Y96" i="3"/>
  <c r="Y97" i="3"/>
  <c r="Y98" i="3"/>
  <c r="Y99" i="3"/>
  <c r="Y100" i="3"/>
  <c r="Y101" i="3"/>
  <c r="Y102" i="3"/>
  <c r="Y103" i="3"/>
  <c r="Y104" i="3"/>
  <c r="Y105" i="3"/>
  <c r="Y106" i="3"/>
  <c r="Y107" i="3"/>
  <c r="Y108" i="3"/>
  <c r="Y109" i="3"/>
  <c r="Y110" i="3"/>
  <c r="Y111" i="3"/>
  <c r="Y112" i="3"/>
  <c r="Y113" i="3"/>
  <c r="Y114" i="3"/>
  <c r="Y115" i="3"/>
  <c r="Y116" i="3"/>
  <c r="Y117" i="3"/>
  <c r="Y118" i="3"/>
  <c r="Y119" i="3"/>
  <c r="Y120" i="3"/>
  <c r="Y121" i="3"/>
  <c r="Y122" i="3"/>
  <c r="Y123" i="3"/>
  <c r="Y124" i="3"/>
  <c r="Y125" i="3"/>
  <c r="Y126" i="3"/>
  <c r="Y127" i="3"/>
  <c r="Y128" i="3"/>
  <c r="Y129" i="3"/>
  <c r="Y130" i="3"/>
  <c r="Y131" i="3"/>
  <c r="Y132" i="3"/>
  <c r="Y133" i="3"/>
  <c r="Y134" i="3"/>
  <c r="Y135" i="3"/>
  <c r="Y136" i="3"/>
  <c r="Y137" i="3"/>
  <c r="Y138" i="3"/>
  <c r="Y139" i="3"/>
  <c r="Y140" i="3"/>
  <c r="Y141" i="3"/>
  <c r="Y142" i="3"/>
  <c r="Y143" i="3"/>
  <c r="Y144" i="3"/>
  <c r="Y145" i="3"/>
  <c r="Y146" i="3"/>
  <c r="Y147" i="3"/>
  <c r="Y148" i="3"/>
  <c r="Y149" i="3"/>
  <c r="Y150" i="3"/>
  <c r="Y151" i="3"/>
  <c r="Y152" i="3"/>
  <c r="Y153" i="3"/>
  <c r="Y154" i="3"/>
  <c r="Y155" i="3"/>
  <c r="Y156" i="3"/>
  <c r="Y157" i="3"/>
  <c r="Y158" i="3"/>
  <c r="AA43" i="1"/>
  <c r="G6" i="13" s="1"/>
  <c r="AA39" i="1"/>
  <c r="G14" i="13" s="1"/>
  <c r="AA41" i="1"/>
  <c r="G15" i="13" s="1"/>
  <c r="AA62" i="1"/>
  <c r="AA40" i="1"/>
  <c r="AA44" i="1"/>
  <c r="G7" i="13" s="1"/>
  <c r="AA58" i="1"/>
  <c r="G12" i="13" s="1"/>
  <c r="AA57" i="1"/>
  <c r="G19" i="13" s="1"/>
  <c r="AA93" i="1"/>
  <c r="G97" i="13" s="1"/>
  <c r="AA94" i="1"/>
  <c r="G98" i="13" s="1"/>
  <c r="AA103" i="1"/>
  <c r="G106" i="13" s="1"/>
  <c r="AA95" i="1"/>
  <c r="G99" i="13" s="1"/>
  <c r="AA105" i="1"/>
  <c r="G108" i="13" s="1"/>
  <c r="AA104" i="1"/>
  <c r="G107" i="13" s="1"/>
  <c r="AA96" i="1"/>
  <c r="G100" i="13" s="1"/>
  <c r="AA98" i="1"/>
  <c r="G102" i="13" s="1"/>
  <c r="AA129" i="1"/>
  <c r="AA130" i="1"/>
  <c r="AA135" i="1"/>
  <c r="AA133" i="1"/>
  <c r="AA136" i="1"/>
  <c r="AA134" i="1"/>
  <c r="AA131" i="1"/>
  <c r="AA132" i="1"/>
  <c r="AA137" i="1"/>
  <c r="AA138" i="1"/>
  <c r="AA13" i="1"/>
  <c r="AA14" i="1"/>
  <c r="AA15" i="1"/>
  <c r="AA16" i="1"/>
  <c r="AA17" i="1"/>
  <c r="AA18" i="1"/>
  <c r="AA19" i="1"/>
  <c r="AA20" i="1"/>
  <c r="AA21" i="1"/>
  <c r="AA22" i="1"/>
  <c r="AA120" i="1"/>
  <c r="G25" i="13" s="1"/>
  <c r="I5" i="18" s="1"/>
  <c r="AA122" i="1"/>
  <c r="G26" i="13" s="1"/>
  <c r="I6" i="18" s="1"/>
  <c r="AA111" i="1"/>
  <c r="G31" i="13" s="1"/>
  <c r="I11" i="18" s="1"/>
  <c r="AA106" i="1"/>
  <c r="G27" i="13" s="1"/>
  <c r="I7" i="18" s="1"/>
  <c r="AA123" i="1"/>
  <c r="AA124" i="1"/>
  <c r="AA115" i="1"/>
  <c r="G34" i="13" s="1"/>
  <c r="I14" i="18" s="1"/>
  <c r="AA117" i="1"/>
  <c r="G36" i="13" s="1"/>
  <c r="I16" i="18" s="1"/>
  <c r="AA67" i="1"/>
  <c r="G68" i="13" s="1"/>
  <c r="AA70" i="1"/>
  <c r="G71" i="13" s="1"/>
  <c r="AA75" i="1"/>
  <c r="G77" i="13" s="1"/>
  <c r="AA78" i="1"/>
  <c r="G80" i="13" s="1"/>
  <c r="AA73" i="1"/>
  <c r="G74" i="13" s="1"/>
  <c r="AA74" i="1"/>
  <c r="G75" i="13" s="1"/>
  <c r="AA33" i="1"/>
  <c r="AA23" i="1"/>
  <c r="G44" i="13" s="1"/>
  <c r="AA37" i="1"/>
  <c r="G53" i="13" s="1"/>
  <c r="AA27" i="1"/>
  <c r="G47" i="13" s="1"/>
  <c r="AA31" i="1"/>
  <c r="AA3" i="1"/>
  <c r="G61" i="13" s="1"/>
  <c r="AA9" i="1"/>
  <c r="G57" i="13" s="1"/>
  <c r="AA7" i="1"/>
  <c r="G64" i="13" s="1"/>
  <c r="AA8" i="1"/>
  <c r="G56" i="13" s="1"/>
  <c r="AA5" i="1"/>
  <c r="G63" i="13" s="1"/>
  <c r="AA6" i="1"/>
  <c r="G65" i="13" s="1"/>
  <c r="AA2" i="1"/>
  <c r="G60" i="13" s="1"/>
  <c r="AA4" i="1"/>
  <c r="G62" i="13" s="1"/>
  <c r="AA12" i="1"/>
  <c r="AA84" i="1"/>
  <c r="G90" i="13" s="1"/>
  <c r="AA85" i="1"/>
  <c r="G91" i="13" s="1"/>
  <c r="AA87" i="1"/>
  <c r="G86" i="13" s="1"/>
  <c r="AA83" i="1"/>
  <c r="G93" i="13" s="1"/>
  <c r="AA88" i="1"/>
  <c r="G87" i="13" s="1"/>
  <c r="AA89" i="1"/>
  <c r="G88" i="13" s="1"/>
  <c r="AA90" i="1"/>
  <c r="G89" i="13" s="1"/>
  <c r="AA91" i="1"/>
  <c r="G94" i="13" s="1"/>
  <c r="AA92" i="1"/>
  <c r="G95" i="13" s="1"/>
  <c r="X39" i="1" a="1"/>
  <c r="X39" i="1" s="1"/>
  <c r="X40" i="1" a="1"/>
  <c r="X40" i="1" s="1"/>
  <c r="AB40" i="1" s="1"/>
  <c r="AB50" i="1"/>
  <c r="X59" i="1" a="1"/>
  <c r="X59" i="1" s="1"/>
  <c r="AB59" i="1" s="1"/>
  <c r="X58" i="1" a="1"/>
  <c r="X58" i="1" s="1"/>
  <c r="AB58" i="1" s="1"/>
  <c r="X47" i="1" a="1"/>
  <c r="X47" i="1" s="1"/>
  <c r="AB47" i="1" s="1"/>
  <c r="X46" i="1" a="1"/>
  <c r="X46" i="1" s="1"/>
  <c r="X93" i="1" a="1"/>
  <c r="X93" i="1" s="1"/>
  <c r="AB93" i="1" s="1"/>
  <c r="X94" i="1" a="1"/>
  <c r="X94" i="1" s="1"/>
  <c r="AB94" i="1" s="1"/>
  <c r="X103" i="1" a="1"/>
  <c r="X103" i="1" s="1"/>
  <c r="AB103" i="1" s="1"/>
  <c r="X95" i="1" a="1"/>
  <c r="X95" i="1" s="1"/>
  <c r="AB95" i="1" s="1"/>
  <c r="X105" i="1" a="1"/>
  <c r="X105" i="1" s="1"/>
  <c r="X104" i="1" a="1"/>
  <c r="X104" i="1" s="1"/>
  <c r="AB104" i="1" s="1"/>
  <c r="X96" i="1" a="1"/>
  <c r="X96" i="1" s="1"/>
  <c r="X98" i="1" a="1"/>
  <c r="X98" i="1" s="1"/>
  <c r="AB98" i="1" s="1"/>
  <c r="X100" i="1" a="1"/>
  <c r="X100" i="1" s="1"/>
  <c r="AB100" i="1" s="1"/>
  <c r="X101" i="1" a="1"/>
  <c r="X101" i="1" s="1"/>
  <c r="AB101" i="1" s="1"/>
  <c r="X102" i="1" a="1"/>
  <c r="X102" i="1" s="1"/>
  <c r="AB102" i="1" s="1"/>
  <c r="AB130" i="1"/>
  <c r="AB135" i="1"/>
  <c r="AB133" i="1"/>
  <c r="AB136" i="1"/>
  <c r="AB134" i="1"/>
  <c r="AB138" i="1"/>
  <c r="X13" i="1" a="1"/>
  <c r="X13" i="1" s="1"/>
  <c r="AB13" i="1" s="1"/>
  <c r="X14" i="1" a="1"/>
  <c r="X14" i="1" s="1"/>
  <c r="AB14" i="1" s="1"/>
  <c r="X15" i="1" a="1"/>
  <c r="X15" i="1" s="1"/>
  <c r="AB15" i="1" s="1"/>
  <c r="X16" i="1" a="1"/>
  <c r="X16" i="1" s="1"/>
  <c r="AB16" i="1" s="1"/>
  <c r="X17" i="1" a="1"/>
  <c r="X17" i="1" s="1"/>
  <c r="AB17" i="1" s="1"/>
  <c r="X18" i="1" a="1"/>
  <c r="X18" i="1" s="1"/>
  <c r="AB18" i="1" s="1"/>
  <c r="X19" i="1" a="1"/>
  <c r="X19" i="1" s="1"/>
  <c r="AB19" i="1" s="1"/>
  <c r="X20" i="1" a="1"/>
  <c r="X20" i="1" s="1"/>
  <c r="AB20" i="1" s="1"/>
  <c r="X21" i="1" a="1"/>
  <c r="X21" i="1" s="1"/>
  <c r="X22" i="1" a="1"/>
  <c r="X22" i="1" s="1"/>
  <c r="X108" i="1" a="1"/>
  <c r="X108" i="1" s="1"/>
  <c r="AB108" i="1" s="1"/>
  <c r="X120" i="1" a="1"/>
  <c r="X120" i="1" s="1"/>
  <c r="AB120" i="1" s="1"/>
  <c r="X122" i="1" a="1"/>
  <c r="X122" i="1" s="1"/>
  <c r="AB122" i="1" s="1"/>
  <c r="X111" i="1" a="1"/>
  <c r="X111" i="1" s="1"/>
  <c r="X123" i="1" a="1"/>
  <c r="X123" i="1" s="1"/>
  <c r="AB123" i="1" s="1"/>
  <c r="X124" i="1" a="1"/>
  <c r="X124" i="1" s="1"/>
  <c r="AB124" i="1" s="1"/>
  <c r="X67" i="1" a="1"/>
  <c r="X67" i="1" s="1"/>
  <c r="AB67" i="1" s="1"/>
  <c r="X73" i="1" a="1"/>
  <c r="X73" i="1" s="1"/>
  <c r="AB73" i="1" s="1"/>
  <c r="X33" i="1" a="1"/>
  <c r="X33" i="1" s="1"/>
  <c r="AB33" i="1" s="1"/>
  <c r="X37" i="1" a="1"/>
  <c r="X37" i="1" s="1"/>
  <c r="AB37" i="1" s="1"/>
  <c r="X27" i="1" a="1"/>
  <c r="X27" i="1" s="1"/>
  <c r="AB27" i="1" s="1"/>
  <c r="X3" i="1" a="1"/>
  <c r="X3" i="1" s="1"/>
  <c r="AB3" i="1" s="1"/>
  <c r="X9" i="1" a="1"/>
  <c r="X9" i="1" s="1"/>
  <c r="AB9" i="1" s="1"/>
  <c r="X7" i="1" a="1"/>
  <c r="X7" i="1" s="1"/>
  <c r="AB7" i="1" s="1"/>
  <c r="X8" i="1" a="1"/>
  <c r="X8" i="1" s="1"/>
  <c r="AB8" i="1" s="1"/>
  <c r="X5" i="1" a="1"/>
  <c r="X5" i="1" s="1"/>
  <c r="AB5" i="1" s="1"/>
  <c r="X6" i="1" a="1"/>
  <c r="X6" i="1" s="1"/>
  <c r="AB6" i="1" s="1"/>
  <c r="X2" i="1" a="1"/>
  <c r="X2" i="1" s="1"/>
  <c r="X4" i="1" a="1"/>
  <c r="X4" i="1" s="1"/>
  <c r="X12" i="1" a="1"/>
  <c r="X12" i="1" s="1"/>
  <c r="X84" i="1" a="1"/>
  <c r="X84" i="1" s="1"/>
  <c r="AB84" i="1" s="1"/>
  <c r="X85" i="1" a="1"/>
  <c r="X85" i="1" s="1"/>
  <c r="AB85" i="1" s="1"/>
  <c r="X87" i="1" a="1"/>
  <c r="X87" i="1" s="1"/>
  <c r="AB87" i="1" s="1"/>
  <c r="X83" i="1" a="1"/>
  <c r="X83" i="1" s="1"/>
  <c r="AB83" i="1" s="1"/>
  <c r="X88" i="1" a="1"/>
  <c r="X88" i="1" s="1"/>
  <c r="AB88" i="1" s="1"/>
  <c r="X89" i="1" a="1"/>
  <c r="X89" i="1" s="1"/>
  <c r="AB89" i="1" s="1"/>
  <c r="X90" i="1" a="1"/>
  <c r="X90" i="1" s="1"/>
  <c r="X91" i="1" a="1"/>
  <c r="X91" i="1" s="1"/>
  <c r="AB91" i="1" s="1"/>
  <c r="X92" i="1" a="1"/>
  <c r="X92" i="1" s="1"/>
  <c r="AB92" i="1" s="1"/>
  <c r="J26" i="4"/>
  <c r="J60" i="4"/>
  <c r="J50" i="4"/>
  <c r="L59" i="4"/>
  <c r="I50" i="4"/>
  <c r="I8" i="4"/>
  <c r="I14" i="4"/>
  <c r="I54" i="4"/>
  <c r="K59" i="4"/>
  <c r="J59" i="4"/>
  <c r="J57" i="4"/>
  <c r="J98" i="4"/>
  <c r="J62" i="4"/>
  <c r="J35" i="4"/>
  <c r="I34" i="4"/>
  <c r="J43" i="4"/>
  <c r="I69" i="4"/>
  <c r="I62" i="4"/>
  <c r="M61" i="4"/>
  <c r="L61" i="4"/>
  <c r="K61" i="4"/>
  <c r="J61" i="4"/>
  <c r="L68" i="4"/>
  <c r="K68" i="4"/>
  <c r="J68" i="4"/>
  <c r="I68" i="4"/>
  <c r="J66" i="4"/>
  <c r="I61" i="4"/>
  <c r="I64" i="4"/>
  <c r="L38" i="4"/>
  <c r="I35" i="4"/>
  <c r="K37" i="4"/>
  <c r="I73" i="21" l="1"/>
  <c r="G122" i="21"/>
  <c r="H122" i="21" s="1"/>
  <c r="H120" i="21"/>
  <c r="H119" i="21"/>
  <c r="H118" i="21"/>
  <c r="H111" i="21"/>
  <c r="H117" i="21"/>
  <c r="H116" i="21"/>
  <c r="H113" i="21"/>
  <c r="H110" i="21"/>
  <c r="H115" i="21"/>
  <c r="H114" i="21"/>
  <c r="H47" i="21"/>
  <c r="H112" i="21"/>
  <c r="H48" i="21"/>
  <c r="H30" i="21"/>
  <c r="AD53" i="16"/>
  <c r="J4" i="18"/>
  <c r="AD49" i="16"/>
  <c r="H8" i="13"/>
  <c r="H9" i="13"/>
  <c r="H20" i="13"/>
  <c r="H10" i="13"/>
  <c r="AD48" i="16"/>
  <c r="I8" i="13"/>
  <c r="X50" i="16" a="1"/>
  <c r="X50" i="16" s="1"/>
  <c r="AB50" i="16" s="1"/>
  <c r="AC50" i="16" s="1"/>
  <c r="AA50" i="16"/>
  <c r="L16" i="18"/>
  <c r="AB73" i="16"/>
  <c r="AC73" i="16" s="1"/>
  <c r="AA34" i="16"/>
  <c r="H16" i="13"/>
  <c r="AD47" i="16"/>
  <c r="AB137" i="16"/>
  <c r="AC137" i="16" s="1"/>
  <c r="M10" i="18"/>
  <c r="M11" i="18"/>
  <c r="M15" i="18"/>
  <c r="M8" i="18"/>
  <c r="M12" i="18"/>
  <c r="M17" i="18"/>
  <c r="J20" i="18"/>
  <c r="M13" i="18"/>
  <c r="M20" i="18"/>
  <c r="F20" i="18"/>
  <c r="C20" i="18"/>
  <c r="M14" i="18"/>
  <c r="I51" i="13"/>
  <c r="I49" i="13"/>
  <c r="I54" i="13"/>
  <c r="I46" i="13"/>
  <c r="I41" i="13"/>
  <c r="I37" i="13"/>
  <c r="I35" i="13"/>
  <c r="I32" i="13"/>
  <c r="I33" i="13"/>
  <c r="I28" i="13"/>
  <c r="I30" i="13"/>
  <c r="H30" i="13"/>
  <c r="H33" i="13"/>
  <c r="H37" i="13"/>
  <c r="H32" i="13"/>
  <c r="H35" i="13"/>
  <c r="H28" i="13"/>
  <c r="I21" i="13"/>
  <c r="I22" i="13"/>
  <c r="J10" i="18"/>
  <c r="J8" i="18"/>
  <c r="J12" i="18"/>
  <c r="I45" i="13"/>
  <c r="J13" i="18"/>
  <c r="J17" i="18"/>
  <c r="J15" i="18"/>
  <c r="I13" i="13"/>
  <c r="I16" i="13"/>
  <c r="L4" i="18"/>
  <c r="I52" i="13"/>
  <c r="J9" i="18"/>
  <c r="I9" i="13"/>
  <c r="H24" i="13"/>
  <c r="I48" i="13"/>
  <c r="I29" i="13"/>
  <c r="I24" i="13"/>
  <c r="I43" i="13"/>
  <c r="H29" i="13"/>
  <c r="I20" i="13"/>
  <c r="AD45" i="16"/>
  <c r="H39" i="13"/>
  <c r="H38" i="13"/>
  <c r="I38" i="13"/>
  <c r="I18" i="18"/>
  <c r="H92" i="13"/>
  <c r="I39" i="13"/>
  <c r="AD56" i="16"/>
  <c r="H18" i="13"/>
  <c r="AD42" i="16"/>
  <c r="AD57" i="16"/>
  <c r="AD67" i="16"/>
  <c r="AD62" i="16"/>
  <c r="AD52" i="16"/>
  <c r="AD139" i="16"/>
  <c r="AD40" i="16"/>
  <c r="AD66" i="16"/>
  <c r="AD59" i="16"/>
  <c r="AA51" i="16"/>
  <c r="AD58" i="16"/>
  <c r="AD46" i="16"/>
  <c r="AD41" i="16"/>
  <c r="AD44" i="16"/>
  <c r="AD39" i="16"/>
  <c r="AD54" i="16"/>
  <c r="H21" i="13"/>
  <c r="H22" i="13"/>
  <c r="H13" i="13"/>
  <c r="I18" i="13"/>
  <c r="AB5" i="16"/>
  <c r="AC5" i="16" s="1"/>
  <c r="I10" i="13"/>
  <c r="AD68" i="16"/>
  <c r="J16" i="18"/>
  <c r="B7" i="18"/>
  <c r="J7" i="18"/>
  <c r="J11" i="18"/>
  <c r="J6" i="18"/>
  <c r="J5" i="18"/>
  <c r="J14" i="18"/>
  <c r="B4" i="18"/>
  <c r="H95" i="13"/>
  <c r="H87" i="13"/>
  <c r="H93" i="13"/>
  <c r="H91" i="13"/>
  <c r="H90" i="13"/>
  <c r="H86" i="13"/>
  <c r="H94" i="13"/>
  <c r="H89" i="13"/>
  <c r="H88" i="13"/>
  <c r="H68" i="13"/>
  <c r="H70" i="13"/>
  <c r="H75" i="13"/>
  <c r="H80" i="13"/>
  <c r="H74" i="13"/>
  <c r="H77" i="13"/>
  <c r="H71" i="13"/>
  <c r="H64" i="13"/>
  <c r="H57" i="13"/>
  <c r="H63" i="13"/>
  <c r="H62" i="13"/>
  <c r="H60" i="13"/>
  <c r="H56" i="13"/>
  <c r="H61" i="13"/>
  <c r="H65" i="13"/>
  <c r="AA34" i="1"/>
  <c r="G50" i="13" s="1"/>
  <c r="H50" i="13" s="1"/>
  <c r="G42" i="13"/>
  <c r="H44" i="13"/>
  <c r="I44" i="13"/>
  <c r="H47" i="13"/>
  <c r="I47" i="13"/>
  <c r="H53" i="13"/>
  <c r="I53" i="13"/>
  <c r="I12" i="13"/>
  <c r="H12" i="13"/>
  <c r="H31" i="13"/>
  <c r="I31" i="13"/>
  <c r="I7" i="13"/>
  <c r="H7" i="13"/>
  <c r="H26" i="13"/>
  <c r="I26" i="13"/>
  <c r="I25" i="13"/>
  <c r="H25" i="13"/>
  <c r="I15" i="13"/>
  <c r="H15" i="13"/>
  <c r="H14" i="13"/>
  <c r="I14" i="13"/>
  <c r="H27" i="13"/>
  <c r="I27" i="13"/>
  <c r="I6" i="13"/>
  <c r="H6" i="13"/>
  <c r="I36" i="13"/>
  <c r="H36" i="13"/>
  <c r="I34" i="13"/>
  <c r="H34" i="13"/>
  <c r="I17" i="13"/>
  <c r="H17" i="13"/>
  <c r="I11" i="13"/>
  <c r="H11" i="13"/>
  <c r="I19" i="13"/>
  <c r="H19" i="13"/>
  <c r="S94" i="10"/>
  <c r="X49" i="1" a="1"/>
  <c r="X49" i="1" s="1"/>
  <c r="AB49" i="1" s="1"/>
  <c r="AD45" i="1"/>
  <c r="W50" i="1"/>
  <c r="AA50" i="1" s="1"/>
  <c r="G5" i="13" s="1"/>
  <c r="AD53" i="1"/>
  <c r="Y8" i="10"/>
  <c r="AD127" i="1"/>
  <c r="AD43" i="1"/>
  <c r="X44" i="1"/>
  <c r="AD61" i="1"/>
  <c r="AD56" i="1"/>
  <c r="Y7" i="10"/>
  <c r="AD48" i="1"/>
  <c r="AD47" i="1"/>
  <c r="AD42" i="1"/>
  <c r="AD40" i="1"/>
  <c r="AD57" i="1"/>
  <c r="AD62" i="1"/>
  <c r="AD58" i="1"/>
  <c r="AD41" i="1"/>
  <c r="AD39" i="1"/>
  <c r="AD51" i="1"/>
  <c r="AD52" i="1"/>
  <c r="AD49" i="1"/>
  <c r="AD44" i="1"/>
  <c r="AD55" i="1"/>
  <c r="AD46" i="1"/>
  <c r="AA63" i="1"/>
  <c r="G3" i="13" s="1"/>
  <c r="S19" i="10"/>
  <c r="I29" i="10"/>
  <c r="H62" i="10"/>
  <c r="I44" i="10"/>
  <c r="I51" i="10"/>
  <c r="I3" i="10"/>
  <c r="V4" i="3" a="1"/>
  <c r="V4" i="3" s="1"/>
  <c r="Z4" i="3" s="1"/>
  <c r="AA4" i="3" s="1"/>
  <c r="AA29" i="3"/>
  <c r="Z133" i="3"/>
  <c r="AA133" i="3" s="1"/>
  <c r="Z101" i="3"/>
  <c r="AA101" i="3" s="1"/>
  <c r="AA149" i="3"/>
  <c r="AA53" i="3"/>
  <c r="AA85" i="3"/>
  <c r="Z45" i="3"/>
  <c r="AA45" i="3" s="1"/>
  <c r="Z77" i="3"/>
  <c r="AA77" i="3" s="1"/>
  <c r="Z109" i="3"/>
  <c r="AA109" i="3" s="1"/>
  <c r="Z141" i="3"/>
  <c r="AA141" i="3" s="1"/>
  <c r="Z125" i="3"/>
  <c r="AA125" i="3" s="1"/>
  <c r="Z61" i="3"/>
  <c r="AA61" i="3" s="1"/>
  <c r="Z157" i="3"/>
  <c r="AA157" i="3" s="1"/>
  <c r="Z89" i="3"/>
  <c r="AA89" i="3" s="1"/>
  <c r="Z57" i="3"/>
  <c r="AA57" i="3" s="1"/>
  <c r="Z73" i="3"/>
  <c r="AA73" i="3" s="1"/>
  <c r="Z93" i="3"/>
  <c r="AA93" i="3" s="1"/>
  <c r="AA65" i="3"/>
  <c r="AA49" i="3"/>
  <c r="AA13" i="3"/>
  <c r="AA81" i="3"/>
  <c r="Z35" i="3"/>
  <c r="AA35" i="3" s="1"/>
  <c r="Z47" i="3"/>
  <c r="AA47" i="3" s="1"/>
  <c r="Z95" i="3"/>
  <c r="AA95" i="3" s="1"/>
  <c r="Z111" i="3"/>
  <c r="AA111" i="3" s="1"/>
  <c r="Z25" i="3"/>
  <c r="AA25" i="3" s="1"/>
  <c r="Z43" i="3"/>
  <c r="AA43" i="3" s="1"/>
  <c r="Z91" i="3"/>
  <c r="AA91" i="3" s="1"/>
  <c r="Z107" i="3"/>
  <c r="AA107" i="3" s="1"/>
  <c r="Z144" i="3"/>
  <c r="AA144" i="3" s="1"/>
  <c r="Z112" i="3"/>
  <c r="AA112" i="3" s="1"/>
  <c r="Z80" i="3"/>
  <c r="AA80" i="3" s="1"/>
  <c r="Z48" i="3"/>
  <c r="AA48" i="3" s="1"/>
  <c r="Z5" i="3"/>
  <c r="AA5" i="3" s="1"/>
  <c r="Z7" i="3"/>
  <c r="AA7" i="3" s="1"/>
  <c r="Z20" i="3"/>
  <c r="AA20" i="3" s="1"/>
  <c r="Z33" i="3"/>
  <c r="AA33" i="3" s="1"/>
  <c r="Z44" i="3"/>
  <c r="AA44" i="3" s="1"/>
  <c r="Z60" i="3"/>
  <c r="AA60" i="3" s="1"/>
  <c r="Z76" i="3"/>
  <c r="AA76" i="3" s="1"/>
  <c r="Z92" i="3"/>
  <c r="AA92" i="3" s="1"/>
  <c r="Z108" i="3"/>
  <c r="AA108" i="3" s="1"/>
  <c r="Z124" i="3"/>
  <c r="AA124" i="3" s="1"/>
  <c r="Z140" i="3"/>
  <c r="AA140" i="3" s="1"/>
  <c r="Z156" i="3"/>
  <c r="AA156" i="3" s="1"/>
  <c r="Z24" i="3"/>
  <c r="AA24" i="3" s="1"/>
  <c r="Z8" i="3"/>
  <c r="AA8" i="3" s="1"/>
  <c r="Z27" i="3"/>
  <c r="AA27" i="3" s="1"/>
  <c r="Z55" i="3"/>
  <c r="AA55" i="3" s="1"/>
  <c r="Z71" i="3"/>
  <c r="AA71" i="3" s="1"/>
  <c r="Z87" i="3"/>
  <c r="AA87" i="3" s="1"/>
  <c r="Z103" i="3"/>
  <c r="AA103" i="3" s="1"/>
  <c r="Z119" i="3"/>
  <c r="AA119" i="3" s="1"/>
  <c r="Z135" i="3"/>
  <c r="AA135" i="3" s="1"/>
  <c r="Z151" i="3"/>
  <c r="AA151" i="3" s="1"/>
  <c r="Z67" i="3"/>
  <c r="AA67" i="3" s="1"/>
  <c r="Z83" i="3"/>
  <c r="AA83" i="3" s="1"/>
  <c r="Z11" i="3"/>
  <c r="AA11" i="3" s="1"/>
  <c r="Z63" i="3"/>
  <c r="AA63" i="3" s="1"/>
  <c r="Z79" i="3"/>
  <c r="AA79" i="3" s="1"/>
  <c r="Z127" i="3"/>
  <c r="AA127" i="3" s="1"/>
  <c r="Z143" i="3"/>
  <c r="AA143" i="3" s="1"/>
  <c r="Z12" i="3"/>
  <c r="AA12" i="3" s="1"/>
  <c r="V14" i="3" s="1" a="1"/>
  <c r="V14" i="3" s="1"/>
  <c r="Z14" i="3" s="1"/>
  <c r="AA14" i="3" s="1"/>
  <c r="V15" i="3" s="1" a="1"/>
  <c r="V15" i="3" s="1"/>
  <c r="Z15" i="3" s="1"/>
  <c r="AA15" i="3" s="1"/>
  <c r="V16" i="3" s="1" a="1"/>
  <c r="V16" i="3" s="1"/>
  <c r="Z31" i="3"/>
  <c r="AA31" i="3" s="1"/>
  <c r="AA64" i="3"/>
  <c r="AA96" i="3"/>
  <c r="AA128" i="3"/>
  <c r="AA32" i="3"/>
  <c r="Z59" i="3"/>
  <c r="AA59" i="3" s="1"/>
  <c r="Z75" i="3"/>
  <c r="AA75" i="3" s="1"/>
  <c r="Z123" i="3"/>
  <c r="AA123" i="3" s="1"/>
  <c r="Z139" i="3"/>
  <c r="AA139" i="3" s="1"/>
  <c r="Z155" i="3"/>
  <c r="AA155" i="3" s="1"/>
  <c r="Z9" i="3"/>
  <c r="AA9" i="3" s="1"/>
  <c r="Z28" i="3"/>
  <c r="AA28" i="3" s="1"/>
  <c r="AA56" i="3"/>
  <c r="AA72" i="3"/>
  <c r="AA88" i="3"/>
  <c r="AA104" i="3"/>
  <c r="AA120" i="3"/>
  <c r="AA136" i="3"/>
  <c r="AA152" i="3"/>
  <c r="Z99" i="3"/>
  <c r="AA99" i="3" s="1"/>
  <c r="Z131" i="3"/>
  <c r="AA131" i="3" s="1"/>
  <c r="Z115" i="3"/>
  <c r="AA115" i="3" s="1"/>
  <c r="Z17" i="3"/>
  <c r="AA17" i="3" s="1"/>
  <c r="Z36" i="3"/>
  <c r="AA36" i="3" s="1"/>
  <c r="Z52" i="3"/>
  <c r="AA52" i="3" s="1"/>
  <c r="Z68" i="3"/>
  <c r="AA68" i="3" s="1"/>
  <c r="Z84" i="3"/>
  <c r="AA84" i="3" s="1"/>
  <c r="Z100" i="3"/>
  <c r="AA100" i="3" s="1"/>
  <c r="Z116" i="3"/>
  <c r="AA116" i="3" s="1"/>
  <c r="Z132" i="3"/>
  <c r="AA132" i="3" s="1"/>
  <c r="Z148" i="3"/>
  <c r="AA148" i="3" s="1"/>
  <c r="Z51" i="3"/>
  <c r="AA51" i="3" s="1"/>
  <c r="Z147" i="3"/>
  <c r="AA147" i="3" s="1"/>
  <c r="AA154" i="3"/>
  <c r="AA138" i="3"/>
  <c r="AA130" i="3"/>
  <c r="AA122" i="3"/>
  <c r="AA114" i="3"/>
  <c r="AA106" i="3"/>
  <c r="AA98" i="3"/>
  <c r="AA90" i="3"/>
  <c r="AA82" i="3"/>
  <c r="AA74" i="3"/>
  <c r="AA66" i="3"/>
  <c r="AA58" i="3"/>
  <c r="AA50" i="3"/>
  <c r="AA42" i="3"/>
  <c r="AA34" i="3"/>
  <c r="AA26" i="3"/>
  <c r="AA18" i="3"/>
  <c r="AA10" i="3"/>
  <c r="V19" i="3" s="1" a="1"/>
  <c r="V19" i="3" s="1"/>
  <c r="Z19" i="3" s="1"/>
  <c r="AA19" i="3" s="1"/>
  <c r="V37" i="3" s="1" a="1"/>
  <c r="V37" i="3" s="1"/>
  <c r="Z37" i="3" s="1"/>
  <c r="AA37" i="3" s="1"/>
  <c r="AA146" i="3"/>
  <c r="Y5" i="3"/>
  <c r="AA134" i="3"/>
  <c r="AA86" i="3"/>
  <c r="AA78" i="3"/>
  <c r="AA70" i="3"/>
  <c r="AA62" i="3"/>
  <c r="AA54" i="3"/>
  <c r="AA46" i="3"/>
  <c r="AA38" i="3"/>
  <c r="V41" i="3" s="1" a="1"/>
  <c r="V41" i="3" s="1"/>
  <c r="Z41" i="3" s="1"/>
  <c r="AA41" i="3" s="1"/>
  <c r="AA30" i="3"/>
  <c r="AA22" i="3"/>
  <c r="AA6" i="3"/>
  <c r="AA118" i="3"/>
  <c r="AA94" i="3"/>
  <c r="Z126" i="3"/>
  <c r="AA126" i="3" s="1"/>
  <c r="Z110" i="3"/>
  <c r="AA110" i="3" s="1"/>
  <c r="Z102" i="3"/>
  <c r="AA102" i="3" s="1"/>
  <c r="AC20" i="1"/>
  <c r="AC134" i="1"/>
  <c r="AC47" i="1"/>
  <c r="AC88" i="1"/>
  <c r="AC122" i="1"/>
  <c r="AC19" i="1"/>
  <c r="AC95" i="1"/>
  <c r="AC6" i="1"/>
  <c r="AC5" i="1"/>
  <c r="AC27" i="1"/>
  <c r="AC124" i="1"/>
  <c r="AC18" i="1"/>
  <c r="AC136" i="1"/>
  <c r="AC103" i="1"/>
  <c r="AC40" i="1"/>
  <c r="AC89" i="1"/>
  <c r="AC83" i="1"/>
  <c r="AC8" i="1"/>
  <c r="AC37" i="1"/>
  <c r="AC73" i="1"/>
  <c r="AC123" i="1"/>
  <c r="AC120" i="1"/>
  <c r="AC17" i="1"/>
  <c r="AC94" i="1"/>
  <c r="AC7" i="1"/>
  <c r="AC16" i="1"/>
  <c r="AC102" i="1"/>
  <c r="AC93" i="1"/>
  <c r="AC58" i="1"/>
  <c r="AC87" i="1"/>
  <c r="AC9" i="1"/>
  <c r="AC67" i="1"/>
  <c r="AC15" i="1"/>
  <c r="AC133" i="1"/>
  <c r="AC101" i="1"/>
  <c r="AC59" i="1"/>
  <c r="AB39" i="1"/>
  <c r="AC39" i="1" s="1"/>
  <c r="AC92" i="1"/>
  <c r="AC3" i="1"/>
  <c r="AC14" i="1"/>
  <c r="AC50" i="1"/>
  <c r="AB12" i="1"/>
  <c r="AC12" i="1" s="1"/>
  <c r="AB137" i="1"/>
  <c r="AC137" i="1" s="1"/>
  <c r="AB96" i="1"/>
  <c r="AC96" i="1" s="1"/>
  <c r="AC61" i="1"/>
  <c r="AC91" i="1"/>
  <c r="AC85" i="1"/>
  <c r="AC108" i="1"/>
  <c r="AC13" i="1"/>
  <c r="AC135" i="1"/>
  <c r="AC100" i="1"/>
  <c r="AB90" i="1"/>
  <c r="AC90" i="1" s="1"/>
  <c r="AB4" i="1"/>
  <c r="AC4" i="1" s="1"/>
  <c r="AB22" i="1"/>
  <c r="AC22" i="1" s="1"/>
  <c r="AB132" i="1"/>
  <c r="AC132" i="1" s="1"/>
  <c r="AB129" i="1"/>
  <c r="AC129" i="1" s="1"/>
  <c r="AB46" i="1"/>
  <c r="AC46" i="1" s="1"/>
  <c r="AC104" i="1"/>
  <c r="AC84" i="1"/>
  <c r="AC33" i="1"/>
  <c r="AC138" i="1"/>
  <c r="AC130" i="1"/>
  <c r="AC98" i="1"/>
  <c r="AB2" i="1"/>
  <c r="AC2" i="1" s="1"/>
  <c r="AB111" i="1"/>
  <c r="AC111" i="1" s="1"/>
  <c r="AB21" i="1"/>
  <c r="AC21" i="1" s="1"/>
  <c r="AB131" i="1"/>
  <c r="AC131" i="1" s="1"/>
  <c r="AB105" i="1"/>
  <c r="AC105" i="1" s="1"/>
  <c r="X63" i="1" a="1"/>
  <c r="X63" i="1" s="1"/>
  <c r="I43" i="4"/>
  <c r="M23" i="4"/>
  <c r="K25" i="4"/>
  <c r="L23" i="4"/>
  <c r="J25" i="4"/>
  <c r="I26" i="4"/>
  <c r="I57" i="4"/>
  <c r="K27" i="4"/>
  <c r="J27" i="4"/>
  <c r="I59" i="4"/>
  <c r="I60" i="4"/>
  <c r="J22" i="4"/>
  <c r="J21" i="4"/>
  <c r="J24" i="4"/>
  <c r="I24" i="4"/>
  <c r="I18" i="4"/>
  <c r="K23" i="4"/>
  <c r="J53" i="4"/>
  <c r="I22" i="4"/>
  <c r="I25" i="4"/>
  <c r="I21" i="4"/>
  <c r="J23" i="4"/>
  <c r="I23" i="4"/>
  <c r="I53" i="4"/>
  <c r="I27" i="4"/>
  <c r="J92" i="4"/>
  <c r="I81" i="4"/>
  <c r="I74" i="4"/>
  <c r="J88" i="4"/>
  <c r="I91" i="4"/>
  <c r="I82" i="4"/>
  <c r="L97" i="4"/>
  <c r="J95" i="4"/>
  <c r="I95" i="4"/>
  <c r="S29" i="10" l="1"/>
  <c r="Y29" i="10"/>
  <c r="H74" i="21"/>
  <c r="I74" i="21" s="1"/>
  <c r="H71" i="21"/>
  <c r="I71" i="21" s="1"/>
  <c r="H69" i="21"/>
  <c r="H49" i="21"/>
  <c r="H50" i="21"/>
  <c r="I50" i="21" s="1"/>
  <c r="H52" i="21"/>
  <c r="I48" i="21"/>
  <c r="J37" i="21"/>
  <c r="J38" i="21"/>
  <c r="J40" i="21"/>
  <c r="J36" i="21"/>
  <c r="J35" i="21"/>
  <c r="H32" i="21"/>
  <c r="J32" i="21" s="1"/>
  <c r="H31" i="21"/>
  <c r="J31" i="21" s="1"/>
  <c r="AE73" i="16"/>
  <c r="I80" i="13"/>
  <c r="AE67" i="16"/>
  <c r="AF67" i="16" s="1"/>
  <c r="K9" i="18"/>
  <c r="L6" i="18"/>
  <c r="I87" i="13"/>
  <c r="K11" i="18"/>
  <c r="AE68" i="16"/>
  <c r="AF68" i="16" s="1"/>
  <c r="AE56" i="16"/>
  <c r="I63" i="13"/>
  <c r="I94" i="13"/>
  <c r="I95" i="13"/>
  <c r="AE18" i="16"/>
  <c r="I99" i="13"/>
  <c r="AE134" i="16"/>
  <c r="AE37" i="16"/>
  <c r="L9" i="18"/>
  <c r="L7" i="18"/>
  <c r="I65" i="13"/>
  <c r="I75" i="13"/>
  <c r="AE60" i="16"/>
  <c r="K18" i="18"/>
  <c r="J18" i="18"/>
  <c r="J22" i="18" s="1"/>
  <c r="AE118" i="16"/>
  <c r="AE116" i="16"/>
  <c r="AE50" i="16"/>
  <c r="AD50" i="16"/>
  <c r="I57" i="13"/>
  <c r="I22" i="18"/>
  <c r="K7" i="18"/>
  <c r="AE22" i="16"/>
  <c r="I61" i="13"/>
  <c r="I64" i="13"/>
  <c r="I90" i="13"/>
  <c r="K16" i="18"/>
  <c r="AE80" i="16"/>
  <c r="I70" i="13"/>
  <c r="K14" i="18"/>
  <c r="AD51" i="16"/>
  <c r="AE51" i="16"/>
  <c r="AE5" i="16"/>
  <c r="N4" i="18"/>
  <c r="M4" i="18"/>
  <c r="AE31" i="16"/>
  <c r="L5" i="18"/>
  <c r="I86" i="13"/>
  <c r="I56" i="13"/>
  <c r="I71" i="13"/>
  <c r="I91" i="13"/>
  <c r="I68" i="13"/>
  <c r="K5" i="18"/>
  <c r="AE132" i="16"/>
  <c r="L18" i="18"/>
  <c r="AE23" i="16"/>
  <c r="AE47" i="16"/>
  <c r="AF47" i="16" s="1"/>
  <c r="AE73" i="1"/>
  <c r="AE127" i="16"/>
  <c r="AE117" i="16"/>
  <c r="AE111" i="16"/>
  <c r="AE95" i="16"/>
  <c r="AE20" i="16"/>
  <c r="AE72" i="16"/>
  <c r="AE110" i="16"/>
  <c r="AE122" i="16"/>
  <c r="AE100" i="16"/>
  <c r="AE123" i="16"/>
  <c r="AE52" i="16"/>
  <c r="AE139" i="16"/>
  <c r="AE97" i="16"/>
  <c r="AE59" i="16"/>
  <c r="AE69" i="16"/>
  <c r="AE133" i="16"/>
  <c r="AE108" i="16"/>
  <c r="AE90" i="16"/>
  <c r="AE129" i="16"/>
  <c r="AE119" i="16"/>
  <c r="AE76" i="16"/>
  <c r="AE125" i="16"/>
  <c r="AE70" i="16"/>
  <c r="AE40" i="16"/>
  <c r="AF40" i="16" s="1"/>
  <c r="AE24" i="16"/>
  <c r="AE120" i="16"/>
  <c r="AE66" i="16"/>
  <c r="AF66" i="16" s="1"/>
  <c r="AE102" i="16"/>
  <c r="AE75" i="16"/>
  <c r="AE33" i="16"/>
  <c r="AE26" i="16"/>
  <c r="AE92" i="16"/>
  <c r="AE82" i="16"/>
  <c r="AE150" i="16"/>
  <c r="AE104" i="16"/>
  <c r="AE19" i="16"/>
  <c r="AE77" i="16"/>
  <c r="AE15" i="16"/>
  <c r="AE141" i="16"/>
  <c r="AE62" i="16"/>
  <c r="AE107" i="16"/>
  <c r="AE2" i="16"/>
  <c r="AE105" i="16"/>
  <c r="AE71" i="16"/>
  <c r="AE44" i="16"/>
  <c r="AF44" i="16" s="1"/>
  <c r="AE145" i="16"/>
  <c r="AE46" i="16"/>
  <c r="AF46" i="16" s="1"/>
  <c r="AE7" i="16"/>
  <c r="AE136" i="16"/>
  <c r="AE94" i="16"/>
  <c r="AE106" i="16"/>
  <c r="AE83" i="16"/>
  <c r="AE3" i="16"/>
  <c r="AE17" i="16"/>
  <c r="AE14" i="16"/>
  <c r="AE115" i="16"/>
  <c r="AE21" i="16"/>
  <c r="AE143" i="16"/>
  <c r="AE135" i="16"/>
  <c r="AE58" i="16"/>
  <c r="AE91" i="16"/>
  <c r="AE12" i="16"/>
  <c r="AE121" i="16"/>
  <c r="AE25" i="16"/>
  <c r="AE8" i="16"/>
  <c r="AE96" i="16"/>
  <c r="AE149" i="16"/>
  <c r="AE142" i="16"/>
  <c r="AE6" i="16"/>
  <c r="AE16" i="16"/>
  <c r="AE151" i="16"/>
  <c r="AE112" i="16"/>
  <c r="AE148" i="16"/>
  <c r="AE27" i="16"/>
  <c r="AE4" i="16"/>
  <c r="AE13" i="16"/>
  <c r="AE101" i="16"/>
  <c r="AE113" i="16"/>
  <c r="AE61" i="16"/>
  <c r="AE146" i="16"/>
  <c r="AE41" i="16"/>
  <c r="AE144" i="16"/>
  <c r="AE99" i="16"/>
  <c r="AE9" i="16"/>
  <c r="AE147" i="16"/>
  <c r="AE74" i="16"/>
  <c r="I102" i="13"/>
  <c r="AE103" i="16"/>
  <c r="AE84" i="16"/>
  <c r="N17" i="18"/>
  <c r="AE54" i="16"/>
  <c r="N10" i="18"/>
  <c r="AE39" i="16"/>
  <c r="AF39" i="16" s="1"/>
  <c r="I108" i="13"/>
  <c r="N20" i="18"/>
  <c r="I73" i="13"/>
  <c r="I100" i="13"/>
  <c r="AE126" i="16"/>
  <c r="N8" i="18"/>
  <c r="N15" i="18"/>
  <c r="N11" i="18"/>
  <c r="I92" i="13"/>
  <c r="N12" i="18"/>
  <c r="I82" i="13"/>
  <c r="K20" i="18"/>
  <c r="I84" i="13"/>
  <c r="N13" i="18"/>
  <c r="I69" i="13"/>
  <c r="I101" i="13"/>
  <c r="I104" i="13"/>
  <c r="I76" i="13"/>
  <c r="I83" i="13"/>
  <c r="I103" i="13"/>
  <c r="I106" i="13"/>
  <c r="I109" i="13"/>
  <c r="G20" i="18"/>
  <c r="I67" i="13"/>
  <c r="D20" i="18"/>
  <c r="I81" i="13"/>
  <c r="I78" i="13"/>
  <c r="I97" i="13"/>
  <c r="I105" i="13"/>
  <c r="I72" i="13"/>
  <c r="I98" i="13"/>
  <c r="I107" i="13"/>
  <c r="N14" i="18"/>
  <c r="I58" i="13"/>
  <c r="I59" i="13"/>
  <c r="K10" i="18"/>
  <c r="K8" i="18"/>
  <c r="K12" i="18"/>
  <c r="I79" i="13"/>
  <c r="K17" i="18"/>
  <c r="K15" i="18"/>
  <c r="K13" i="18"/>
  <c r="AE48" i="16"/>
  <c r="AE53" i="16"/>
  <c r="AE57" i="16"/>
  <c r="AE42" i="16"/>
  <c r="AE49" i="16"/>
  <c r="K4" i="18"/>
  <c r="AE137" i="16"/>
  <c r="AE81" i="16"/>
  <c r="AE128" i="16"/>
  <c r="M16" i="18"/>
  <c r="N16" i="18"/>
  <c r="I60" i="13"/>
  <c r="I77" i="13"/>
  <c r="I93" i="13"/>
  <c r="I88" i="13"/>
  <c r="K6" i="18"/>
  <c r="AE130" i="16"/>
  <c r="AE45" i="16"/>
  <c r="AF45" i="16" s="1"/>
  <c r="I62" i="13"/>
  <c r="I74" i="13"/>
  <c r="I89" i="13"/>
  <c r="B9" i="18"/>
  <c r="B22" i="18" s="1"/>
  <c r="D4" i="18"/>
  <c r="C4" i="18"/>
  <c r="D7" i="18"/>
  <c r="C7" i="18"/>
  <c r="I50" i="13"/>
  <c r="H42" i="13"/>
  <c r="I42" i="13"/>
  <c r="AC49" i="1"/>
  <c r="I5" i="13"/>
  <c r="H5" i="13"/>
  <c r="AD50" i="1"/>
  <c r="H3" i="13"/>
  <c r="I3" i="13"/>
  <c r="AE74" i="1"/>
  <c r="AE121" i="1"/>
  <c r="AE67" i="1"/>
  <c r="AE44" i="1"/>
  <c r="AF44" i="1" s="1"/>
  <c r="AE105" i="1"/>
  <c r="AE12" i="1"/>
  <c r="AE89" i="1"/>
  <c r="AE33" i="1"/>
  <c r="AE84" i="1"/>
  <c r="AE134" i="1"/>
  <c r="AE6" i="1"/>
  <c r="AE57" i="1"/>
  <c r="AE37" i="1"/>
  <c r="AE113" i="1"/>
  <c r="AE87" i="1"/>
  <c r="AE2" i="1"/>
  <c r="AE31" i="1"/>
  <c r="AE92" i="1"/>
  <c r="AE85" i="1"/>
  <c r="AE15" i="1"/>
  <c r="AE108" i="1"/>
  <c r="AE76" i="1"/>
  <c r="AE65" i="1"/>
  <c r="AE5" i="1"/>
  <c r="AE91" i="1"/>
  <c r="T87" i="10"/>
  <c r="W87" i="10" s="1"/>
  <c r="Z75" i="10"/>
  <c r="W75" i="10"/>
  <c r="Z76" i="10"/>
  <c r="Z77" i="10"/>
  <c r="Z87" i="10"/>
  <c r="Z78" i="10"/>
  <c r="Z79" i="10"/>
  <c r="Z80" i="10"/>
  <c r="W78" i="10"/>
  <c r="Z72" i="10"/>
  <c r="Z74" i="10"/>
  <c r="Z71" i="10"/>
  <c r="Z88" i="10"/>
  <c r="Z73" i="10"/>
  <c r="Z92" i="10"/>
  <c r="Z69" i="10"/>
  <c r="Z91" i="10"/>
  <c r="Z90" i="10"/>
  <c r="Z70" i="10"/>
  <c r="Z89" i="10"/>
  <c r="Z82" i="10"/>
  <c r="Z85" i="10"/>
  <c r="Z86" i="10"/>
  <c r="Z84" i="10"/>
  <c r="Z81" i="10"/>
  <c r="Z83" i="10"/>
  <c r="AE110" i="1"/>
  <c r="AE124" i="1"/>
  <c r="AE98" i="1"/>
  <c r="AE43" i="1"/>
  <c r="AF43" i="1" s="1"/>
  <c r="AE69" i="1"/>
  <c r="AE8" i="1"/>
  <c r="AE20" i="1"/>
  <c r="AE115" i="1"/>
  <c r="AE95" i="1"/>
  <c r="AE50" i="1"/>
  <c r="AE72" i="1"/>
  <c r="AE109" i="1"/>
  <c r="AE90" i="1"/>
  <c r="AE138" i="1"/>
  <c r="AE116" i="1"/>
  <c r="AE136" i="1"/>
  <c r="AE55" i="1"/>
  <c r="AE102" i="1"/>
  <c r="AE101" i="1"/>
  <c r="AE83" i="1"/>
  <c r="AE103" i="1"/>
  <c r="AE19" i="1"/>
  <c r="AE104" i="1"/>
  <c r="AE58" i="1"/>
  <c r="AE118" i="1"/>
  <c r="AE119" i="1"/>
  <c r="AE107" i="1"/>
  <c r="AE53" i="1"/>
  <c r="AE24" i="1"/>
  <c r="AE77" i="1"/>
  <c r="AE25" i="1"/>
  <c r="AE60" i="1"/>
  <c r="AE128" i="1"/>
  <c r="AE97" i="1"/>
  <c r="AE99" i="1"/>
  <c r="AE68" i="1"/>
  <c r="AE45" i="1"/>
  <c r="AF45" i="1" s="1"/>
  <c r="AE61" i="1"/>
  <c r="AE127" i="1"/>
  <c r="AE46" i="1"/>
  <c r="AF46" i="1" s="1"/>
  <c r="AE52" i="1"/>
  <c r="AE49" i="1"/>
  <c r="AE59" i="1"/>
  <c r="AE56" i="1"/>
  <c r="AE51" i="1"/>
  <c r="AE47" i="1"/>
  <c r="AE48" i="1"/>
  <c r="AE42" i="1"/>
  <c r="AE125" i="1"/>
  <c r="AE14" i="1"/>
  <c r="AE88" i="1"/>
  <c r="AE62" i="1"/>
  <c r="AF62" i="1" s="1"/>
  <c r="AE94" i="1"/>
  <c r="AE133" i="1"/>
  <c r="AE112" i="1"/>
  <c r="AE131" i="1"/>
  <c r="AE96" i="1"/>
  <c r="AE9" i="1"/>
  <c r="AE120" i="1"/>
  <c r="AE93" i="1"/>
  <c r="AE135" i="1"/>
  <c r="AE18" i="1"/>
  <c r="AE75" i="1"/>
  <c r="AE21" i="1"/>
  <c r="AE132" i="1"/>
  <c r="AE137" i="1"/>
  <c r="AE117" i="1"/>
  <c r="AE130" i="1"/>
  <c r="AE17" i="1"/>
  <c r="AE106" i="1"/>
  <c r="AE23" i="1"/>
  <c r="AE114" i="1"/>
  <c r="AE22" i="1"/>
  <c r="AE100" i="1"/>
  <c r="AE41" i="1"/>
  <c r="AE16" i="1"/>
  <c r="AE111" i="1"/>
  <c r="AE70" i="1"/>
  <c r="AE4" i="1"/>
  <c r="AE78" i="1"/>
  <c r="AE123" i="1"/>
  <c r="AE3" i="1"/>
  <c r="AE63" i="1"/>
  <c r="AF63" i="1" s="1"/>
  <c r="AE7" i="1"/>
  <c r="AE129" i="1"/>
  <c r="AE122" i="1"/>
  <c r="AE66" i="1"/>
  <c r="AE26" i="1"/>
  <c r="AE27" i="1"/>
  <c r="AE71" i="1"/>
  <c r="AE13" i="1"/>
  <c r="AB42" i="1"/>
  <c r="AC42" i="1" s="1"/>
  <c r="AE40" i="1"/>
  <c r="AF40" i="1" s="1"/>
  <c r="AE39" i="1"/>
  <c r="AF39" i="1" s="1"/>
  <c r="AD63" i="1"/>
  <c r="AA64" i="1"/>
  <c r="Z16" i="3"/>
  <c r="AA16" i="3" s="1"/>
  <c r="V39" i="3" s="1" a="1"/>
  <c r="V39" i="3" s="1"/>
  <c r="Z39" i="3" s="1"/>
  <c r="AA39" i="3" s="1"/>
  <c r="V40" i="3" s="1" a="1"/>
  <c r="V40" i="3" s="1"/>
  <c r="Z40" i="3" s="1"/>
  <c r="AB63" i="1"/>
  <c r="AC63" i="1" s="1"/>
  <c r="X64" i="1" s="1" a="1"/>
  <c r="X64" i="1" s="1"/>
  <c r="AB64" i="1" s="1"/>
  <c r="AC64" i="1" s="1"/>
  <c r="X62" i="1" a="1"/>
  <c r="X62" i="1" s="1"/>
  <c r="J102" i="4"/>
  <c r="K101" i="4"/>
  <c r="I80" i="4"/>
  <c r="J94" i="4"/>
  <c r="I84" i="4"/>
  <c r="J90" i="4"/>
  <c r="J101" i="4"/>
  <c r="K97" i="4"/>
  <c r="I102" i="4"/>
  <c r="J71" i="4"/>
  <c r="J72" i="4"/>
  <c r="I101" i="4"/>
  <c r="I98" i="4"/>
  <c r="J97" i="4"/>
  <c r="I100" i="4"/>
  <c r="I94" i="4"/>
  <c r="I72" i="4"/>
  <c r="I90" i="4"/>
  <c r="I88" i="4"/>
  <c r="I85" i="4"/>
  <c r="I92" i="4"/>
  <c r="I71" i="4"/>
  <c r="I97" i="4"/>
  <c r="I48" i="4"/>
  <c r="K38" i="4"/>
  <c r="J38" i="4"/>
  <c r="J37" i="4"/>
  <c r="I66" i="4"/>
  <c r="I38" i="4"/>
  <c r="J39" i="4"/>
  <c r="I37" i="4"/>
  <c r="L41" i="4"/>
  <c r="J13" i="4"/>
  <c r="K42" i="4"/>
  <c r="J42" i="4"/>
  <c r="I39" i="4"/>
  <c r="I42" i="4"/>
  <c r="K41" i="4"/>
  <c r="I13" i="4"/>
  <c r="J41" i="4"/>
  <c r="I41" i="4"/>
  <c r="I36" i="4"/>
  <c r="I28" i="4"/>
  <c r="I69" i="21" l="1"/>
  <c r="H76" i="21"/>
  <c r="I76" i="21" s="1"/>
  <c r="H54" i="21"/>
  <c r="I54" i="21" s="1"/>
  <c r="I52" i="21"/>
  <c r="I49" i="21"/>
  <c r="H51" i="21"/>
  <c r="I31" i="21"/>
  <c r="I32" i="21" s="1"/>
  <c r="H33" i="21"/>
  <c r="J33" i="21" s="1"/>
  <c r="K22" i="18"/>
  <c r="M18" i="18"/>
  <c r="N18" i="18"/>
  <c r="N5" i="18"/>
  <c r="M5" i="18"/>
  <c r="N9" i="18"/>
  <c r="M9" i="18"/>
  <c r="E9" i="18"/>
  <c r="C9" i="18"/>
  <c r="C22" i="18" s="1"/>
  <c r="D9" i="18"/>
  <c r="D22" i="18" s="1"/>
  <c r="L22" i="18"/>
  <c r="E4" i="18"/>
  <c r="N6" i="18"/>
  <c r="M6" i="18"/>
  <c r="E7" i="18"/>
  <c r="N7" i="18"/>
  <c r="M7" i="18"/>
  <c r="AE64" i="1"/>
  <c r="AF64" i="1" s="1"/>
  <c r="G4" i="13"/>
  <c r="X48" i="1" a="1"/>
  <c r="X48" i="1" s="1"/>
  <c r="AB48" i="1" s="1"/>
  <c r="AC48" i="1" s="1"/>
  <c r="T3" i="10"/>
  <c r="W21" i="10"/>
  <c r="W14" i="10"/>
  <c r="Z5" i="10"/>
  <c r="Z9" i="10"/>
  <c r="Z16" i="10"/>
  <c r="Z17" i="10"/>
  <c r="Z21" i="10"/>
  <c r="Z20" i="10"/>
  <c r="Z13" i="10"/>
  <c r="W20" i="10"/>
  <c r="Z12" i="10"/>
  <c r="W22" i="10"/>
  <c r="Z22" i="10"/>
  <c r="W13" i="10"/>
  <c r="Z26" i="10"/>
  <c r="Z23" i="10"/>
  <c r="Z24" i="10"/>
  <c r="W19" i="10"/>
  <c r="Z14" i="10"/>
  <c r="Z15" i="10"/>
  <c r="Z25" i="10"/>
  <c r="Z19" i="10"/>
  <c r="Z11" i="10"/>
  <c r="W9" i="10"/>
  <c r="Z10" i="10"/>
  <c r="W8" i="10"/>
  <c r="Z3" i="10"/>
  <c r="Z6" i="10"/>
  <c r="W18" i="10"/>
  <c r="W6" i="10"/>
  <c r="W3" i="10"/>
  <c r="Z4" i="10"/>
  <c r="T14" i="10"/>
  <c r="W7" i="10"/>
  <c r="Z8" i="10"/>
  <c r="T8" i="10"/>
  <c r="W24" i="10"/>
  <c r="Z18" i="10"/>
  <c r="T19" i="10"/>
  <c r="Z7" i="10"/>
  <c r="AD64" i="1"/>
  <c r="AA40" i="3"/>
  <c r="AB51" i="1"/>
  <c r="AC51" i="1" s="1"/>
  <c r="X52" i="1" s="1" a="1"/>
  <c r="X52" i="1" s="1"/>
  <c r="AB62" i="1"/>
  <c r="AC62" i="1" s="1"/>
  <c r="B164" i="5"/>
  <c r="B170" i="5" s="1"/>
  <c r="B179" i="5" s="1"/>
  <c r="C35" i="5"/>
  <c r="C36" i="5" s="1"/>
  <c r="B33" i="5"/>
  <c r="B12" i="5"/>
  <c r="O55" i="1"/>
  <c r="G103" i="4"/>
  <c r="G102" i="4"/>
  <c r="G101" i="4"/>
  <c r="G100" i="4"/>
  <c r="G99" i="4"/>
  <c r="G98" i="4"/>
  <c r="G97" i="4"/>
  <c r="G96" i="4"/>
  <c r="G95" i="4"/>
  <c r="G94" i="4"/>
  <c r="G93" i="4"/>
  <c r="G92" i="4"/>
  <c r="G91" i="4"/>
  <c r="G90" i="4"/>
  <c r="G89" i="4"/>
  <c r="G88" i="4"/>
  <c r="G87" i="4"/>
  <c r="G86" i="4"/>
  <c r="G85" i="4"/>
  <c r="G84" i="4"/>
  <c r="G83" i="4"/>
  <c r="G82" i="4"/>
  <c r="G81" i="4"/>
  <c r="G80" i="4"/>
  <c r="G79" i="4"/>
  <c r="G78" i="4"/>
  <c r="G77" i="4"/>
  <c r="G76" i="4"/>
  <c r="G75" i="4"/>
  <c r="G74" i="4"/>
  <c r="G73" i="4"/>
  <c r="G72" i="4"/>
  <c r="G71" i="4"/>
  <c r="G70" i="4"/>
  <c r="G69" i="4"/>
  <c r="G68" i="4"/>
  <c r="G67" i="4"/>
  <c r="G66" i="4"/>
  <c r="G65" i="4"/>
  <c r="G64" i="4"/>
  <c r="G63" i="4"/>
  <c r="G62" i="4"/>
  <c r="G61" i="4"/>
  <c r="G60" i="4"/>
  <c r="G59" i="4"/>
  <c r="G58" i="4"/>
  <c r="G57" i="4"/>
  <c r="G56" i="4"/>
  <c r="G55" i="4"/>
  <c r="G54" i="4"/>
  <c r="G53" i="4"/>
  <c r="G52" i="4"/>
  <c r="G51" i="4"/>
  <c r="G50" i="4"/>
  <c r="G49" i="4"/>
  <c r="G48" i="4"/>
  <c r="G47" i="4"/>
  <c r="G46" i="4"/>
  <c r="G45" i="4"/>
  <c r="G44" i="4"/>
  <c r="G43" i="4"/>
  <c r="G42" i="4"/>
  <c r="G41" i="4"/>
  <c r="G40" i="4"/>
  <c r="G39" i="4"/>
  <c r="G38" i="4"/>
  <c r="G37" i="4"/>
  <c r="G36" i="4"/>
  <c r="G35" i="4"/>
  <c r="G34" i="4"/>
  <c r="G33" i="4"/>
  <c r="G32" i="4"/>
  <c r="G31" i="4"/>
  <c r="G30" i="4"/>
  <c r="G29" i="4"/>
  <c r="G28" i="4"/>
  <c r="G27" i="4"/>
  <c r="G26" i="4"/>
  <c r="G25" i="4"/>
  <c r="G24" i="4"/>
  <c r="G23" i="4"/>
  <c r="G22" i="4"/>
  <c r="G21" i="4"/>
  <c r="G20" i="4"/>
  <c r="G19" i="4"/>
  <c r="G18" i="4"/>
  <c r="G17" i="4"/>
  <c r="G16" i="4"/>
  <c r="G15" i="4"/>
  <c r="G14" i="4"/>
  <c r="G13" i="4"/>
  <c r="G12" i="4"/>
  <c r="G11" i="4"/>
  <c r="G10" i="4"/>
  <c r="G9" i="4"/>
  <c r="G8" i="4"/>
  <c r="G7" i="4"/>
  <c r="G6" i="4"/>
  <c r="G5" i="4"/>
  <c r="G4" i="4"/>
  <c r="G3" i="4"/>
  <c r="G2" i="4"/>
  <c r="X41" i="1" a="1"/>
  <c r="X41" i="1" s="1"/>
  <c r="X43" i="1" a="1"/>
  <c r="X43" i="1" s="1"/>
  <c r="Z29" i="10" l="1"/>
  <c r="H55" i="21"/>
  <c r="I55" i="21" s="1"/>
  <c r="I51" i="21"/>
  <c r="H53" i="21"/>
  <c r="I53" i="21" s="1"/>
  <c r="H34" i="21"/>
  <c r="J34" i="21" s="1"/>
  <c r="I33" i="21"/>
  <c r="N22" i="18"/>
  <c r="M22" i="18"/>
  <c r="F7" i="18"/>
  <c r="G7" i="18"/>
  <c r="G9" i="18"/>
  <c r="F9" i="18"/>
  <c r="F4" i="18"/>
  <c r="G4" i="18"/>
  <c r="E22" i="18"/>
  <c r="I4" i="13"/>
  <c r="H4" i="13"/>
  <c r="AB52" i="1"/>
  <c r="AC52" i="1" s="1"/>
  <c r="AB41" i="1"/>
  <c r="AC41" i="1" s="1"/>
  <c r="AB43" i="1"/>
  <c r="AC43" i="1" s="1"/>
  <c r="AB44" i="1" s="1"/>
  <c r="AC44" i="1" s="1"/>
  <c r="H56" i="21" l="1"/>
  <c r="I56" i="21" s="1"/>
  <c r="I34" i="21"/>
  <c r="I35" i="21" s="1"/>
  <c r="I36" i="21" s="1"/>
  <c r="I37" i="21" s="1"/>
  <c r="I38" i="21" s="1"/>
  <c r="F22" i="18"/>
  <c r="G22" i="18"/>
  <c r="AB45" i="1"/>
  <c r="AC45" i="1" s="1"/>
  <c r="H39" i="21" l="1"/>
  <c r="X115" i="1" a="1"/>
  <c r="X115" i="1" s="1"/>
  <c r="AB115" i="1" s="1"/>
  <c r="AC115" i="1" s="1"/>
  <c r="X117" i="1" s="1" a="1"/>
  <c r="X117" i="1" s="1"/>
  <c r="I39" i="21" l="1"/>
  <c r="I40" i="21" s="1"/>
  <c r="H41" i="21" s="1"/>
  <c r="J39" i="21"/>
  <c r="AB117" i="1"/>
  <c r="AC117" i="1" s="1"/>
  <c r="H42" i="21" l="1"/>
  <c r="I42" i="21" s="1"/>
  <c r="J41" i="21"/>
  <c r="I41" i="21"/>
  <c r="X70" i="1" a="1"/>
  <c r="X70" i="1" s="1"/>
  <c r="AB70" i="1" l="1"/>
  <c r="AC70" i="1" s="1"/>
  <c r="X75" i="1" s="1" a="1"/>
  <c r="X75" i="1" s="1"/>
  <c r="AB75" i="1" l="1"/>
  <c r="AC75" i="1" s="1"/>
  <c r="X74" i="1" l="1" a="1"/>
  <c r="X74" i="1" s="1"/>
  <c r="AB74" i="1" s="1"/>
  <c r="AC74" i="1" s="1"/>
  <c r="X106" i="1" a="1"/>
  <c r="X106" i="1" s="1"/>
  <c r="AB106" i="1" l="1"/>
  <c r="AC106" i="1" s="1"/>
  <c r="X125" i="1" s="1" a="1"/>
  <c r="X125" i="1" s="1"/>
  <c r="AB125" i="1" l="1"/>
  <c r="AC125" i="1" s="1"/>
  <c r="AB55" i="1"/>
  <c r="AC55" i="1" s="1"/>
  <c r="X56" i="1" s="1" a="1"/>
  <c r="X56" i="1" s="1"/>
  <c r="AB56" i="1" s="1"/>
  <c r="AC56" i="1" l="1"/>
  <c r="X57" i="1" l="1" a="1"/>
  <c r="X57" i="1" s="1"/>
  <c r="AB57" i="1" l="1"/>
  <c r="AC57" i="1" s="1"/>
  <c r="X31" i="1" l="1" a="1"/>
  <c r="X31" i="1" s="1"/>
  <c r="X23" i="1" a="1"/>
  <c r="X23" i="1" s="1"/>
  <c r="AB23" i="1" l="1"/>
  <c r="AC23" i="1" s="1"/>
  <c r="AB31" i="1"/>
  <c r="AC31" i="1" s="1"/>
  <c r="X78" i="1" l="1" a="1"/>
  <c r="X78" i="1" s="1"/>
  <c r="AB78" i="1" l="1"/>
  <c r="AC78" i="1" s="1"/>
  <c r="Z23" i="3"/>
  <c r="V23" i="3"/>
  <c r="V3" i="3"/>
  <c r="V23" i="3" a="1"/>
  <c r="AA23" i="3"/>
  <c r="AA3" i="3"/>
  <c r="V3" i="3" a="1"/>
  <c r="Z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tc={AEC4EEBD-43AF-4EC7-8C09-9B398FF3EF8F}</author>
    <author>tc={168DC791-DB0D-4246-BD5D-C92C6E41D7AE}</author>
    <author>tc={850152FA-8B19-4913-8DFB-E76517542C2C}</author>
    <author>tc={A0E4E1E0-C2FE-4CF1-8568-1818D6FFA367}</author>
    <author>tc={D4879507-5A07-4B32-948D-DF277A76ED76}</author>
    <author>tc={683E82C3-3CA4-4D07-ACEB-0C5DDB6CA8E0}</author>
    <author>tc={BD26C89E-783B-43F6-8F66-699FD3FDB4C4}</author>
    <author>Jan</author>
    <author>tc={0E9D9095-0C23-479C-A22B-5BDCBCD2C05C}</author>
    <author>tc={8F6B873A-ADCE-4800-A065-17CBEF5FB7BF}</author>
    <author>tc={45818681-8F27-44BB-9900-2C18789BFC77}</author>
    <author>tc={7AC5AE57-7221-45D5-AA6A-C4AD7E38D3E9}</author>
    <author>tc={A694F1F3-7743-48F6-A898-6C14AB6A20C3}</author>
    <author>tc={75A9BDB8-9786-4EAB-8D86-E0B0D2CE92FB}</author>
    <author>tc={D19AAF2B-F9F8-49F3-B919-1F1B3949A527}</author>
    <author>tc={B35D6039-9EDE-4C76-8772-9CD0348163A1}</author>
    <author>tc={9511CC5B-7EE0-4DFD-86C2-A9CA79C47B23}</author>
    <author>tc={EF6F2DA6-E257-48F3-8F94-A387E62A9C4B}</author>
    <author>tc={CBB7CC60-0B08-41B3-87D0-DE95A4ABFA2F}</author>
    <author>tc={C99DD887-A309-4B6A-921A-872B55D0A8F1}</author>
    <author>tc={F0F910F3-8B7F-4AB6-A2EA-44C9EE43900F}</author>
    <author>tc={37281167-85EE-42EB-9AE2-0546B2B32A01}</author>
    <author>tc={574D7B61-9867-4EDE-87AA-D684341830CF}</author>
    <author>tc={57FD3C23-4E09-4F93-9B68-56CA22A68C54}</author>
    <author>tc={58D8983B-34E0-4004-A679-A3FC0CB10EA7}</author>
    <author>tc={53E9ED87-F5A3-4165-9CE5-4718DAF9C416}</author>
    <author>tc={FD8B2D18-C7EB-4DC2-813F-6CC87613821A}</author>
    <author>tc={6712C9BB-16B2-4576-8897-073AF3DE23AD}</author>
    <author>tc={9BFA49C5-8A41-4DCF-A770-FF9F2DAF8FC8}</author>
    <author>tc={51DA1D47-F7A0-48FB-9709-4020DB2A35F4}</author>
    <author>tc={A74EF9D7-126C-4ED4-A9DE-A563F1BB679F}</author>
    <author>tc={B8E8DC7C-C1D8-436C-B854-FEA51AE47CFA}</author>
    <author>tc={4D85A910-1D68-4AD0-8E38-44EE4116E6B8}</author>
    <author>tc={8633573E-D7EC-440A-896B-EC9E1887D8CD}</author>
    <author>tc={52A55F03-FAF8-475A-9421-6827A1D77B6C}</author>
    <author>tc={BA23C317-F3A5-4892-9AF2-D81B7B49D833}</author>
    <author>tc={EC523440-C2AF-455F-9044-3EBB13442552}</author>
    <author>tc={CA3DBE8A-428F-477A-9A2F-EA3D940DF348}</author>
    <author>tc={2E0F5AAF-8218-48A2-967C-FAE9789B611F}</author>
    <author>tc={FAF77993-F724-44A1-9B7A-737B3856424B}</author>
    <author>tc={468DCB18-B6FE-4E84-84D4-8A5F1AF1FBDD}</author>
    <author>tc={C1E9BD99-4933-4B6F-AC20-72EC85136D7D}</author>
    <author>tc={5518C6FC-D44D-45CB-B00A-7A2C1C9928D9}</author>
    <author>tc={6CCD0B85-FB66-4DF4-9047-5941E6EC24C1}</author>
    <author>tc={80BBB58A-6BA4-4F56-92FB-74E2281E070F}</author>
    <author>tc={39027B27-2E74-4436-B751-949C2B00F961}</author>
    <author>tc={A267E75D-F594-4970-8045-769BB439A7EF}</author>
    <author>tc={D96FA2DD-E6B0-4263-A906-8EAD67EA2C7D}</author>
    <author>tc={BDC03989-D3C4-4FD7-8CBB-648C495C7441}</author>
    <author>tc={1E674A39-5356-4CC5-A07C-B538D7A747FE}</author>
    <author>tc={FDCB7DD9-CECD-4C82-9294-CAEDCE98435E}</author>
    <author>tc={45DFA7DD-DF0F-48BF-821A-C0CA1364F3CF}</author>
    <author>tc={B72B3DE8-51BA-4247-A4EF-CF47D1851BF8}</author>
    <author>tc={E81D6E52-4569-41AA-8CA8-BB97E9A72BB8}</author>
    <author>tc={A1D1844D-BE59-4515-B5C3-945F686B9BA1}</author>
    <author>tc={5700A689-E293-4AB1-A92C-B350EED6AE2E}</author>
    <author>tc={5E31C89E-59AC-4511-8FFE-9079C695275A}</author>
    <author>tc={FEDA7E77-5375-4732-83A1-707C139F85FB}</author>
    <author>tc={AB38D73A-6478-411E-8149-96CED6DAC9CC}</author>
  </authors>
  <commentList>
    <comment ref="W1" authorId="0" shapeId="0" xr:uid="{AEC4EEBD-43AF-4EC7-8C09-9B398FF3EF8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The original emission source, not taking into account cross corrections</t>
      </text>
    </comment>
    <comment ref="X1" authorId="1" shapeId="0" xr:uid="{168DC791-DB0D-4246-BD5D-C92C6E41D7AE}">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The emission source, taking into account cross corrections</t>
      </text>
    </comment>
    <comment ref="S4" authorId="2" shapeId="0" xr:uid="{850152FA-8B19-4913-8DFB-E76517542C2C}">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qté de plastique achetée (tonne) MAX ... seems difficult to measure</t>
      </text>
    </comment>
    <comment ref="T8" authorId="3" shapeId="0" xr:uid="{A0E4E1E0-C2FE-4CF1-8568-1818D6FFA367}">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hors ordinateurs</t>
      </text>
    </comment>
    <comment ref="I15" authorId="4" shapeId="0" xr:uid="{D4879507-5A07-4B32-948D-DF277A76ED76}">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t>
      </text>
    </comment>
    <comment ref="W20" authorId="5" shapeId="0" xr:uid="{683E82C3-3CA4-4D07-ACEB-0C5DDB6CA8E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Pas d'émissions de gaz réfirgérant recensées</t>
      </text>
    </comment>
    <comment ref="S23" authorId="6" shapeId="0" xr:uid="{BD26C89E-783B-43F6-8F66-699FD3FDB4C4}">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dépend du type de bien (nourriture?)</t>
      </text>
    </comment>
    <comment ref="Z39" authorId="7" shapeId="0" xr:uid="{360F63BD-3B22-43C6-A1E1-95B76743FEA4}">
      <text>
        <r>
          <rPr>
            <b/>
            <sz val="9"/>
            <color indexed="81"/>
            <rFont val="Tahoma"/>
            <family val="2"/>
          </rPr>
          <t>Jan:</t>
        </r>
        <r>
          <rPr>
            <sz val="9"/>
            <color indexed="81"/>
            <rFont val="Tahoma"/>
            <family val="2"/>
          </rPr>
          <t xml:space="preserve">
estimated reduction gas for heating sanitary water. 
Conservative from: https://www.kraanwater.be/aan-de-slag/tips#tip-3
</t>
        </r>
      </text>
    </comment>
    <comment ref="Z40" authorId="8" shapeId="0" xr:uid="{0E9D9095-0C23-479C-A22B-5BDCBCD2C05C}">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Eau pas prise en compte dans BC</t>
      </text>
    </comment>
    <comment ref="Z42" authorId="9" shapeId="0" xr:uid="{8F6B873A-ADCE-4800-A065-17CBEF5FB7B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for monitoring online</t>
      </text>
    </comment>
    <comment ref="Z43" authorId="7" shapeId="0" xr:uid="{32CBAA51-FCF5-4AB1-AEED-874681A2560E}">
      <text>
        <r>
          <rPr>
            <b/>
            <sz val="9"/>
            <color indexed="81"/>
            <rFont val="Tahoma"/>
            <family val="2"/>
          </rPr>
          <t>Jan:</t>
        </r>
        <r>
          <rPr>
            <sz val="9"/>
            <color indexed="81"/>
            <rFont val="Tahoma"/>
            <family val="2"/>
          </rPr>
          <t xml:space="preserve">
Poelbos = 2,5% emissies, reductie 50% voor dat gebouw</t>
        </r>
      </text>
    </comment>
    <comment ref="Z47" authorId="10" shapeId="0" xr:uid="{45818681-8F27-44BB-9900-2C18789BFC77}">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verschil met mazout en oud</t>
      </text>
    </comment>
    <comment ref="Z48" authorId="11" shapeId="0" xr:uid="{7AC5AE57-7221-45D5-AA6A-C4AD7E38D3E9}">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for monitoring online</t>
      </text>
    </comment>
    <comment ref="Z51" authorId="12" shapeId="0" xr:uid="{A694F1F3-7743-48F6-A898-6C14AB6A20C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Hypothèse que cela permettra d'initier plus de changement vu que ressources financières dispo</t>
      </text>
    </comment>
    <comment ref="Z52" authorId="13" shapeId="0" xr:uid="{75A9BDB8-9786-4EAB-8D86-E0B0D2CE92FB}">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Si + de personnel, similaire à + de subsides, aide à faire + d'actions</t>
      </text>
    </comment>
    <comment ref="L55" authorId="14" shapeId="0" xr:uid="{D19AAF2B-F9F8-49F3-B919-1F1B3949A527}">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temps + disponibilités</t>
      </text>
    </comment>
    <comment ref="W55" authorId="15" shapeId="0" xr:uid="{B35D6039-9EDE-4C76-8772-9CD0348163A1}">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only for admin people if also for schools, bigger</t>
      </text>
    </comment>
    <comment ref="W56" authorId="16" shapeId="0" xr:uid="{9511CC5B-7EE0-4DFD-86C2-A9CA79C47B2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enkel admin veronderstel ik</t>
      </text>
    </comment>
    <comment ref="W58" authorId="17" shapeId="0" xr:uid="{EF6F2DA6-E257-48F3-8F94-A387E62A9C4B}">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is reeds 100% groene stroom</t>
      </text>
    </comment>
    <comment ref="N63" authorId="18" shapeId="0" xr:uid="{CBB7CC60-0B08-41B3-87D0-DE95A4ABFA2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renovation complete ventilation à faire</t>
      </text>
    </comment>
    <comment ref="T63" authorId="19" shapeId="0" xr:uid="{C99DD887-A309-4B6A-921A-872B55D0A8F1}">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2 jour teletravail pour 30% des personnes communales (excl. enseignants, etc.) avec marge de manoeuvre de 80%</t>
      </text>
    </comment>
    <comment ref="Z63" authorId="20" shapeId="0" xr:uid="{F0F910F3-8B7F-4AB6-A2EA-44C9EE43900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Disons -30% de l'espace nécessaire si teletravail en place et NWOW
Réponse :
    is part of the indicator &gt; reduction is 100%</t>
      </text>
    </comment>
    <comment ref="T64" authorId="21" shapeId="0" xr:uid="{37281167-85EE-42EB-9AE2-0546B2B32A01}">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voor 30% gebouwen 1/4 van oppervlakte</t>
      </text>
    </comment>
    <comment ref="W64" authorId="22" shapeId="0" xr:uid="{574D7B61-9867-4EDE-87AA-D684341830C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alleen admin</t>
      </text>
    </comment>
    <comment ref="Z64" authorId="23" shapeId="0" xr:uid="{57FD3C23-4E09-4F93-9B68-56CA22A68C54}">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Only 20% because there will still be heated probably but less.</t>
      </text>
    </comment>
    <comment ref="Z67" authorId="24" shapeId="0" xr:uid="{58D8983B-34E0-4004-A679-A3FC0CB10EA7}">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négligeable sur la quantité totale de papier</t>
      </text>
    </comment>
    <comment ref="W71" authorId="25" shapeId="0" xr:uid="{53E9ED87-F5A3-4165-9CE5-4718DAF9C416}">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pas de données</t>
      </text>
    </comment>
    <comment ref="W72" authorId="26" shapeId="0" xr:uid="{FD8B2D18-C7EB-4DC2-813F-6CC87613821A}">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pas de données</t>
      </text>
    </comment>
    <comment ref="Z73" authorId="27" shapeId="0" xr:uid="{6712C9BB-16B2-4576-8897-073AF3DE23AD}">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dans le déchets ménagères, organique est normalement +50%</t>
      </text>
    </comment>
    <comment ref="T74" authorId="28" shapeId="0" xr:uid="{9BFA49C5-8A41-4DCF-A770-FF9F2DAF8FC8}">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viser 100% semble peu réaliste</t>
      </text>
    </comment>
    <comment ref="Y74" authorId="29" shapeId="0" xr:uid="{51DA1D47-F7A0-48FB-9709-4020DB2A35F4}">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lié à l'action 12?</t>
      </text>
    </comment>
    <comment ref="Z78" authorId="30" shapeId="0" xr:uid="{A74EF9D7-126C-4ED4-A9DE-A563F1BB679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hypothese: 40% des déchets organiques, 50% lié au lunch.</t>
      </text>
    </comment>
    <comment ref="D83" authorId="31" shapeId="0" xr:uid="{B8E8DC7C-C1D8-436C-B854-FEA51AE47CFA}">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https://www.ademe.fr/collectivites-secteur-public/animer-territoire/demarches-planifier-agir/programme-dispositif-labellisation-economie-circulaire</t>
      </text>
    </comment>
    <comment ref="I100" authorId="32" shapeId="0" xr:uid="{4D85A910-1D68-4AD0-8E38-44EE4116E6B8}">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https://www.nationalgeographic.com/environment/article/why-tiny-forests-are-popping-up-in-big-cities</t>
      </text>
    </comment>
    <comment ref="AA100" authorId="33" shapeId="0" xr:uid="{8633573E-D7EC-440A-896B-EC9E1887D8CD}">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https://www.nationalgeographic.com/environment/article/why-tiny-forests-are-popping-up-in-big-cities</t>
      </text>
    </comment>
    <comment ref="AA101" authorId="34" shapeId="0" xr:uid="{52A55F03-FAF8-475A-9421-6827A1D77B6C}">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En moyenne, la plupart des estimations considèrent qu’un arbre nouvellement planté stocke entre 10 et 50 kg de CO2 par an (avec une moyenne de 20-30 kg par an pour la plupart des arbres communs). https://youmatter.world/fr/arbres-stocke-carbone-combien/</t>
      </text>
    </comment>
    <comment ref="AA102" authorId="35" shapeId="0" xr:uid="{BA23C317-F3A5-4892-9AF2-D81B7B49D83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En moyenne, la plupart des estimations considèrent qu’un arbre nouvellement planté stocke entre 10 et 50 kg de CO2 par an (avec une moyenne de 20-30 kg par an pour la plupart des arbres communs). https://youmatter.world/fr/arbres-stocke-carbone-combien/</t>
      </text>
    </comment>
    <comment ref="T106" authorId="36" shapeId="0" xr:uid="{EC523440-C2AF-455F-9044-3EBB13442552}">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=90%/16*5 = 28%, maar 50% door Cobrace</t>
      </text>
    </comment>
    <comment ref="U106" authorId="37" shapeId="0" xr:uid="{CA3DBE8A-428F-477A-9A2F-EA3D940DF348}">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situatie in 2020 = 5 EV op totaal 19 personenwagens.
Réponse :
    5 op totaal van 52 voertuigen.</t>
      </text>
    </comment>
    <comment ref="Z106" authorId="38" shapeId="0" xr:uid="{2E0F5AAF-8218-48A2-967C-FAE9789B611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met groene stroom</t>
      </text>
    </comment>
    <comment ref="W109" authorId="39" shapeId="0" xr:uid="{FAF77993-F724-44A1-9B7A-737B3856424B}">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s.d. --&gt; sans données</t>
      </text>
    </comment>
    <comment ref="Z109" authorId="40" shapeId="0" xr:uid="{468DCB18-B6FE-4E84-84D4-8A5F1AF1FBDD}">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dur d'estimer, vue qu'au final les émissions des animaux doivent être quand même importante aussi</t>
      </text>
    </comment>
    <comment ref="W111" authorId="41" shapeId="0" xr:uid="{C1E9BD99-4933-4B6F-AC20-72EC85136D7D}">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(Sankey) seuls les chiffres pour homework sont indiqués</t>
      </text>
    </comment>
    <comment ref="Z113" authorId="42" shapeId="0" xr:uid="{5518C6FC-D44D-45CB-B00A-7A2C1C9928D9}">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action qui encourrage la prise de vélo mais sans réduction direct a priori</t>
      </text>
    </comment>
    <comment ref="W115" authorId="43" shapeId="0" xr:uid="{6CCD0B85-FB66-4DF4-9047-5941E6EC24C1}">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cfr. cellules séléctionnées?</t>
      </text>
    </comment>
    <comment ref="S117" authorId="44" shapeId="0" xr:uid="{80BBB58A-6BA4-4F56-92FB-74E2281E070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mogelijk met km-teller van fietsen</t>
      </text>
    </comment>
    <comment ref="S119" authorId="45" shapeId="0" xr:uid="{39027B27-2E74-4436-B751-949C2B00F961}">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 des déplacement fait avec vélo ou vélo electriques. Deja à 2 %</t>
      </text>
    </comment>
    <comment ref="U119" authorId="46" shapeId="0" xr:uid="{A267E75D-F594-4970-8045-769BB439A7E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De 2% is huidig aantal km met de fiets gedaan. Is redelijk weinig.</t>
      </text>
    </comment>
    <comment ref="Z119" authorId="47" shapeId="0" xr:uid="{D96FA2DD-E6B0-4263-A906-8EAD67EA2C7D}">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In de veronderstelling dat ze het in 50% van de gevallen of van de afstand gebruiken.</t>
      </text>
    </comment>
    <comment ref="W120" authorId="48" shapeId="0" xr:uid="{BDC03989-D3C4-4FD7-8CBB-648C495C7441}">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2 voertuigen (compacteur)</t>
      </text>
    </comment>
    <comment ref="S121" authorId="49" shapeId="0" xr:uid="{1E674A39-5356-4CC5-A07C-B538D7A747FE}">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dépend du type de bien (nourriture?)</t>
      </text>
    </comment>
    <comment ref="W121" authorId="50" shapeId="0" xr:uid="{FDCB7DD9-CECD-4C82-9294-CAEDCE98435E}">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(Sankey) seuls les chiffres pour homework sont indiqués
Réponse :
    alimentation juste</t>
      </text>
    </comment>
    <comment ref="S122" authorId="51" shapeId="0" xr:uid="{45DFA7DD-DF0F-48BF-821A-C0CA1364F3C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 commande groupée (p/r commande totale) ?</t>
      </text>
    </comment>
    <comment ref="T122" authorId="52" shapeId="0" xr:uid="{B72B3DE8-51BA-4247-A4EF-CF47D1851BF8}">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Possible a mesurer ?</t>
      </text>
    </comment>
    <comment ref="W122" authorId="53" shapeId="0" xr:uid="{E81D6E52-4569-41AA-8CA8-BB97E9A72BB8}">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veronderstellen dat 2% van de afstand gedaan is voor transport colruyt ... to check</t>
      </text>
    </comment>
    <comment ref="W124" authorId="54" shapeId="0" xr:uid="{A1D1844D-BE59-4515-B5C3-945F686B9BA1}">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pas de données</t>
      </text>
    </comment>
    <comment ref="T125" authorId="55" shapeId="0" xr:uid="{5700A689-E293-4AB1-A92C-B350EED6AE2E}">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In de onderstelling dat 30% van de mensen kan thuiswerken.</t>
      </text>
    </comment>
    <comment ref="W125" authorId="56" shapeId="0" xr:uid="{5E31C89E-59AC-4511-8FFE-9079C695275A}">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charoi? car pas vraiment applicable aux trajets</t>
      </text>
    </comment>
    <comment ref="W127" authorId="57" shapeId="0" xr:uid="{FEDA7E77-5375-4732-83A1-707C139F85FB}">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schools, creches, admin buildings</t>
      </text>
    </comment>
    <comment ref="Z127" authorId="58" shapeId="0" xr:uid="{AB38D73A-6478-411E-8149-96CED6DAC9CC}">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Action préparatoire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tc={FDFCFE43-4FB2-4A52-873E-3155AB412BF7}</author>
    <author>tc={33C45A72-9FBD-411D-8A75-604777A7DD5A}</author>
    <author>tc={11F452C8-D490-4E0E-84C9-B3C565052263}</author>
    <author>tc={F88CBB42-4348-4AF5-A285-487A87EB906F}</author>
    <author>tc={83FF777D-8F8F-416D-B581-FE68022D1918}</author>
    <author>tc={E4C39BED-8B7F-4A78-9DD8-2F48FFC1B1BA}</author>
    <author>tc={413742F3-1D6F-484B-A31A-81914D779ACB}</author>
    <author>tc={96F89157-F0E4-452C-93B7-EF57829F8458}</author>
    <author>tc={C388F695-24AE-4CFC-9392-4716526B550D}</author>
    <author>tc={EB6A48DE-94B2-4EBA-A674-F972BDFD510D}</author>
    <author>tc={BE3188A3-5A21-4510-8AEF-61777B312B13}</author>
    <author>tc={8550B39E-4A91-4778-B804-817E0208852F}</author>
    <author>Jan</author>
    <author>tc={E28954E1-87C2-408F-BB8A-4AD01973A000}</author>
    <author>tc={30E52D23-C915-473F-BD4E-0D658E887B4F}</author>
    <author>tc={4E87899B-9F5B-4169-B549-0E79DDD380B7}</author>
    <author>tc={840ED513-D48F-449E-9AA0-B1A5BC278413}</author>
    <author>tc={A2EBDC95-2406-456D-ABC9-363D0F84C360}</author>
    <author>tc={61945F04-8A7D-47F1-AF2A-9ACC4D44C4BA}</author>
    <author>tc={7B3809FB-7827-4053-8D25-017B5BA1F22D}</author>
    <author>tc={6F02168A-1E32-462B-854C-5AF2DE10C607}</author>
    <author>tc={1745C51E-92BF-4ECD-A016-1FEAD2FD037D}</author>
    <author>tc={22975AC4-ECC0-47B4-AC79-39FEF9F75880}</author>
    <author>tc={59CFDEFA-551B-48CF-B55A-08F73C3D214B}</author>
    <author>tc={6615D2C4-63E3-4E1A-8726-8CBA57205376}</author>
    <author>tc={B8ECE2AB-8932-49A9-BA66-415F564AFBA0}</author>
    <author>tc={E1614B3F-1998-4E70-8E84-059805330180}</author>
    <author>tc={D23EB783-6A9B-4DCB-8B17-AADC4262DB1B}</author>
    <author>tc={012FCFF2-86D0-4FF7-AE2E-81AE340F807E}</author>
    <author>tc={949DFBE1-6BB1-4916-BB52-EEDCDD540D4D}</author>
    <author>tc={7E2F2378-9A4F-4557-8734-10FACD769265}</author>
    <author>tc={A5B4C58F-0587-4793-A966-31E4AFF9DAC2}</author>
    <author>tc={5421331B-91A8-435F-912E-4AE25DFD8351}</author>
    <author>tc={E8F28FD4-129D-45F6-83EB-D78C1FE08B00}</author>
    <author>tc={1714A95F-7785-4214-A6A8-20B60563F6A5}</author>
    <author>tc={0AC744AB-019D-4082-9D41-D0D42F0994B9}</author>
    <author>tc={04C8C787-7853-4400-83A7-8F572A3BEDBE}</author>
    <author>tc={AA10C7C7-9C89-447A-95AB-C529F571C3A2}</author>
    <author>tc={4DCFA6C2-9657-4E8F-A5E3-109AD5E003DC}</author>
    <author>tc={DB9E8F42-CC08-48D9-B1A5-298BF163D22D}</author>
    <author>tc={23EF2124-E9B3-4597-AC5F-1C151A3A33DA}</author>
    <author>tc={19460C4B-F453-4BAE-8A04-5EED3A728F59}</author>
    <author>tc={549D3349-76B3-4F64-A67C-1D90E3B35F35}</author>
    <author>tc={1B054061-5CCE-4EB0-A1C7-9C40873355FB}</author>
    <author>tc={B6243C3D-AD63-41AA-ACCA-E653A0842A85}</author>
    <author>tc={0380419D-D7A9-4B44-909B-1AAC5DA1850B}</author>
    <author>tc={2985BA8E-54D2-475B-9013-8A2ACD0A71E5}</author>
    <author>tc={FDDDC2CA-2162-46C8-AFDB-5EC200E53433}</author>
    <author>tc={8FAB5089-D3CC-4B90-B535-48567469BDAC}</author>
    <author>tc={BAA4ECC7-CDA7-410E-BEA5-C1FBE64DEE64}</author>
    <author>tc={BF329342-8359-47B4-A227-CC6C9A02DB9A}</author>
    <author>tc={AF84B2A4-EFA0-46A7-9DD7-B34E71882F44}</author>
    <author>tc={92E656AA-CF78-48E7-A4A2-B170DE50A32D}</author>
    <author>tc={68F90969-59C6-4339-86EB-C5921A03CEEE}</author>
    <author>tc={74A931D5-6A3A-4A1C-962D-EFCC65E535D2}</author>
    <author>tc={9926F85D-8FF5-41BD-A4D3-2A75477BE529}</author>
    <author>tc={0BA6E5A9-CE40-4261-9467-CA5D96441845}</author>
    <author>tc={8E6297BD-EBD3-4A87-A7A5-1E68CBBD4CBB}</author>
    <author>tc={4D557B79-CFBE-40EC-9FB6-753A390DB480}</author>
    <author>tc={47C3C400-5F55-4EA6-ABC9-94F5A3FC3063}</author>
    <author>tc={FBE4AA1B-8D5E-432B-B156-043B51929774}</author>
    <author>tc={1CF20A43-EFE3-4DFA-890D-A1AA18D0B21B}</author>
    <author>tc={85C885C7-0483-4679-A22C-5B425E2AEBC6}</author>
    <author>tc={DF83CBA0-4805-491A-B128-A9667C2D532D}</author>
    <author>tc={0135DF6B-E3BE-40E3-A45E-9EB11E6867DA}</author>
    <author>tc={D2A5F5BC-8281-4ED0-B3F3-AB92D3507CDA}</author>
    <author>tc={70610E05-A005-4AEF-BCAB-FD57823C8530}</author>
    <author>tc={F49F3643-37F5-42C2-A111-4ED95855D8A3}</author>
    <author>tc={AE8A1694-AFF1-47E0-A222-4054E3F59C66}</author>
    <author>tc={40726BFC-C9C4-43D9-862C-DCE96F04AB3F}</author>
    <author>tc={AF91CB20-F64D-4F3B-AB88-D88A0B41F8DE}</author>
    <author>tc={5FD96CEC-CE7A-4AF0-AC0D-E301FFEB9645}</author>
    <author>tc={F4CF9513-9A31-4552-BB90-6DC4492ECA25}</author>
    <author>tc={99C5F68C-BE99-440F-8ED9-FCA87FA12F69}</author>
    <author>tc={39C82753-0DA6-499F-8375-9B2D7E57C34B}</author>
    <author>tc={F3FDC675-E8C1-438A-9E00-C995486A185D}</author>
    <author>tc={EA3BAB3C-555D-4391-9C0D-AD9AF131E195}</author>
    <author>tc={F53E94D1-198E-478B-8251-C1952253EA59}</author>
    <author>tc={4A179FB5-0DDA-4315-A93C-D81C17928812}</author>
  </authors>
  <commentList>
    <comment ref="W1" authorId="0" shapeId="0" xr:uid="{FDFCFE43-4FB2-4A52-873E-3155AB412BF7}">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The original emission source, not taking into account cross corrections</t>
      </text>
    </comment>
    <comment ref="X1" authorId="1" shapeId="0" xr:uid="{33C45A72-9FBD-411D-8A75-604777A7DD5A}">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The emission source, taking into account cross corrections</t>
      </text>
    </comment>
    <comment ref="Z2" authorId="2" shapeId="0" xr:uid="{11F452C8-D490-4E0E-84C9-B3C56505226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Veronderstel 5% minder aankoop door die inventaris.</t>
      </text>
    </comment>
    <comment ref="S4" authorId="3" shapeId="0" xr:uid="{F88CBB42-4348-4AF5-A285-487A87EB906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qté de plastique achetée (tonne) MAX ... seems difficult to measure</t>
      </text>
    </comment>
    <comment ref="T8" authorId="4" shapeId="0" xr:uid="{83FF777D-8F8F-416D-B581-FE68022D1918}">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hors ordinateurs</t>
      </text>
    </comment>
    <comment ref="Z8" authorId="5" shapeId="0" xr:uid="{E4C39BED-8B7F-4A78-9DD8-2F48FFC1B1BA}">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3 vervangen door 1</t>
      </text>
    </comment>
    <comment ref="Z9" authorId="6" shapeId="0" xr:uid="{413742F3-1D6F-484B-A31A-81914D779ACB}">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hypothese dat het 1/3 langer gaat meegaan bij economie functionel.</t>
      </text>
    </comment>
    <comment ref="Z12" authorId="7" shapeId="0" xr:uid="{96F89157-F0E4-452C-93B7-EF57829F8458}">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schatting een derde minder uitstoot, maar ik denk meer. LCA op te zoeken.</t>
      </text>
    </comment>
    <comment ref="I15" authorId="8" shapeId="0" xr:uid="{C388F695-24AE-4CFC-9392-4716526B550D}">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t>
      </text>
    </comment>
    <comment ref="W20" authorId="9" shapeId="0" xr:uid="{EB6A48DE-94B2-4EBA-A674-F972BDFD510D}">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Pas d'émissions de gaz réfirgérant recensées</t>
      </text>
    </comment>
    <comment ref="S23" authorId="10" shapeId="0" xr:uid="{BE3188A3-5A21-4510-8AEF-61777B312B1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dépend du type de bien (nourriture?)</t>
      </text>
    </comment>
    <comment ref="G24" authorId="11" shapeId="0" xr:uid="{8550B39E-4A91-4778-B804-817E0208852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Action supprimée du PA</t>
      </text>
    </comment>
    <comment ref="Z39" authorId="12" shapeId="0" xr:uid="{C66B2547-EFC1-4158-8E53-CB0C3046E4E5}">
      <text>
        <r>
          <rPr>
            <b/>
            <sz val="9"/>
            <color indexed="81"/>
            <rFont val="Tahoma"/>
            <family val="2"/>
          </rPr>
          <t>Jan:</t>
        </r>
        <r>
          <rPr>
            <sz val="9"/>
            <color indexed="81"/>
            <rFont val="Tahoma"/>
            <family val="2"/>
          </rPr>
          <t xml:space="preserve">
estimated reduction gas for heating sanitary water. 
Conservative from: https://www.kraanwater.be/aan-de-slag/tips#tip-3
</t>
        </r>
      </text>
    </comment>
    <comment ref="Z40" authorId="13" shapeId="0" xr:uid="{E28954E1-87C2-408F-BB8A-4AD01973A00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Eau pas prise en compte dans BC</t>
      </text>
    </comment>
    <comment ref="Z42" authorId="14" shapeId="0" xr:uid="{30E52D23-C915-473F-BD4E-0D658E887B4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for monitoring online</t>
      </text>
    </comment>
    <comment ref="Z44" authorId="12" shapeId="0" xr:uid="{4EC5B859-1C13-4D13-84D8-EB6AADBAE73F}">
      <text>
        <r>
          <rPr>
            <b/>
            <sz val="9"/>
            <color indexed="81"/>
            <rFont val="Tahoma"/>
            <family val="2"/>
          </rPr>
          <t>Jan:</t>
        </r>
        <r>
          <rPr>
            <sz val="9"/>
            <color indexed="81"/>
            <rFont val="Tahoma"/>
            <family val="2"/>
          </rPr>
          <t xml:space="preserve">
Poelbos = 2,5% emissies, reductie 50% voor dat gebouw</t>
        </r>
      </text>
    </comment>
    <comment ref="T45" authorId="15" shapeId="0" xr:uid="{4E87899B-9F5B-4169-B549-0E79DDD380B7}">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To be verified by Sami</t>
      </text>
    </comment>
    <comment ref="Z45" authorId="16" shapeId="0" xr:uid="{840ED513-D48F-449E-9AA0-B1A5BC27841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indicated by renoclick as the average reduction generated</t>
      </text>
    </comment>
    <comment ref="Z48" authorId="17" shapeId="0" xr:uid="{A2EBDC95-2406-456D-ABC9-363D0F84C36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verschil met mazout en oud</t>
      </text>
    </comment>
    <comment ref="Z49" authorId="18" shapeId="0" xr:uid="{61945F04-8A7D-47F1-AF2A-9ACC4D44C4BA}">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for monitoring online</t>
      </text>
    </comment>
    <comment ref="Z51" authorId="19" shapeId="0" xr:uid="{7B3809FB-7827-4053-8D25-017B5BA1F22D}">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indicated by plage as the average reduction realised</t>
      </text>
    </comment>
    <comment ref="Z52" authorId="20" shapeId="0" xr:uid="{6F02168A-1E32-462B-854C-5AF2DE10C607}">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Hypothèse que cela permettra d'initier plus de changement vu que ressources financières dispo</t>
      </text>
    </comment>
    <comment ref="Z53" authorId="21" shapeId="0" xr:uid="{1745C51E-92BF-4ECD-A016-1FEAD2FD037D}">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Si + de personnel, similaire à + de subsides, aide à faire + d'actions</t>
      </text>
    </comment>
    <comment ref="L56" authorId="22" shapeId="0" xr:uid="{22975AC4-ECC0-47B4-AC79-39FEF9F7588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temps + disponibilités</t>
      </text>
    </comment>
    <comment ref="W56" authorId="23" shapeId="0" xr:uid="{59CFDEFA-551B-48CF-B55A-08F73C3D214B}">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only for admin people if also for schools, bigger</t>
      </text>
    </comment>
    <comment ref="W57" authorId="24" shapeId="0" xr:uid="{6615D2C4-63E3-4E1A-8726-8CBA57205376}">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enkel admin veronderstel ik</t>
      </text>
    </comment>
    <comment ref="W59" authorId="25" shapeId="0" xr:uid="{B8ECE2AB-8932-49A9-BA66-415F564AFBA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is reeds 100% groene stroom</t>
      </text>
    </comment>
    <comment ref="W63" authorId="26" shapeId="0" xr:uid="{E1614B3F-1998-4E70-8E84-05980533018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voir hypothese: 10% de pompes à chaleur hybride</t>
      </text>
    </comment>
    <comment ref="Z63" authorId="27" shapeId="0" xr:uid="{D23EB783-6A9B-4DCB-8B17-AADC4262DB1B}">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Hybrid heat pump assumed to be switching 50% of the time to gas boiler. 
-94% X 50% reduction in tCO2E = -47%</t>
      </text>
    </comment>
    <comment ref="W64" authorId="28" shapeId="0" xr:uid="{012FCFF2-86D0-4FF7-AE2E-81AE340F807E}">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voir hypothese: 10% de pompes à chaleur hybride</t>
      </text>
    </comment>
    <comment ref="Z64" authorId="29" shapeId="0" xr:uid="{949DFBE1-6BB1-4916-BB52-EEDCDD540D4D}">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Hybrid heat pump assumed to be switching 50% of the time to gas boiler. 
-94% X 50% reduction in tCO2E = -47%</t>
      </text>
    </comment>
    <comment ref="N67" authorId="30" shapeId="0" xr:uid="{7E2F2378-9A4F-4557-8734-10FACD76926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renovation complete ventilation à faire</t>
      </text>
    </comment>
    <comment ref="T67" authorId="31" shapeId="0" xr:uid="{A5B4C58F-0587-4793-A966-31E4AFF9DAC2}">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2 jour teletravail pour 75% des personnes dans les batiments Maison communale, theodore et prevention.</t>
      </text>
    </comment>
    <comment ref="W67" authorId="32" shapeId="0" xr:uid="{5421331B-91A8-435F-912E-4AE25DFD8351}">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only for offices
Réponse :
    Theodore, Maison Communale, Service prevention</t>
      </text>
    </comment>
    <comment ref="T68" authorId="33" shapeId="0" xr:uid="{E8F28FD4-129D-45F6-83EB-D78C1FE08B0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voor 60% gebouwen 1/4 van oppervlakte</t>
      </text>
    </comment>
    <comment ref="W68" authorId="34" shapeId="0" xr:uid="{1714A95F-7785-4214-A6A8-20B60563F6A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alleen admin</t>
      </text>
    </comment>
    <comment ref="Z68" authorId="35" shapeId="0" xr:uid="{0AC744AB-019D-4082-9D41-D0D42F0994B9}">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Only 20% because there will still be heated probably but less.</t>
      </text>
    </comment>
    <comment ref="Z71" authorId="36" shapeId="0" xr:uid="{04C8C787-7853-4400-83A7-8F572A3BEDBE}">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négligeable sur la quantité totale de papier</t>
      </text>
    </comment>
    <comment ref="W75" authorId="37" shapeId="0" xr:uid="{AA10C7C7-9C89-447A-95AB-C529F571C3A2}">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kinderverzorgsers = 52, 10 kinderen per verzorgster, 3 shiften, 5 luiers per dag, 0,3 kg voor plaspamper en 0,5 voor kakapamper</t>
      </text>
    </comment>
    <comment ref="Z75" authorId="38" shapeId="0" xr:uid="{4DCFA6C2-9657-4E8F-A5E3-109AD5E003DC}">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ALs 30% ouders opteren van optie, en dus 30% luiers kan vervangen worden</t>
      </text>
    </comment>
    <comment ref="W76" authorId="39" shapeId="0" xr:uid="{DB9E8F42-CC08-48D9-B1A5-298BF163D22D}">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pas de données</t>
      </text>
    </comment>
    <comment ref="Z77" authorId="40" shapeId="0" xr:uid="{23EF2124-E9B3-4597-AC5F-1C151A3A33DA}">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dans le déchets ménagères, organique est normalement +50%</t>
      </text>
    </comment>
    <comment ref="Z78" authorId="41" shapeId="0" xr:uid="{19460C4B-F453-4BAE-8A04-5EED3A728F59}">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voir hypothese</t>
      </text>
    </comment>
    <comment ref="T79" authorId="42" shapeId="0" xr:uid="{549D3349-76B3-4F64-A67C-1D90E3B35F3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30% from corbeille et balayage and 30% from déchets ménagère encombrant à récycler</t>
      </text>
    </comment>
    <comment ref="Z79" authorId="43" shapeId="0" xr:uid="{1B054061-5CCE-4EB0-A1C7-9C40873355FB}">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EF used now: 362 (incineration), EF recycyling: 36 kg/ton</t>
      </text>
    </comment>
    <comment ref="T80" authorId="44" shapeId="0" xr:uid="{B6243C3D-AD63-41AA-ACCA-E653A0842A8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viser 100% semble peu réaliste</t>
      </text>
    </comment>
    <comment ref="Y80" authorId="45" shapeId="0" xr:uid="{0380419D-D7A9-4B44-909B-1AAC5DA1850B}">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lié à l'action 12?</t>
      </text>
    </comment>
    <comment ref="Z84" authorId="46" shapeId="0" xr:uid="{2985BA8E-54D2-475B-9013-8A2ACD0A71E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hypothese: 40% des déchets organiques, 50% lié au lunch.</t>
      </text>
    </comment>
    <comment ref="D90" authorId="47" shapeId="0" xr:uid="{FDDDC2CA-2162-46C8-AFDB-5EC200E5343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https://www.ademe.fr/collectivites-secteur-public/animer-territoire/demarches-planifier-agir/programme-dispositif-labellisation-economie-circulaire</t>
      </text>
    </comment>
    <comment ref="I108" authorId="48" shapeId="0" xr:uid="{8FAB5089-D3CC-4B90-B535-48567469BDAC}">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https://www.nationalgeographic.com/environment/article/why-tiny-forests-are-popping-up-in-big-cities</t>
      </text>
    </comment>
    <comment ref="AA108" authorId="49" shapeId="0" xr:uid="{BAA4ECC7-CDA7-410E-BEA5-C1FBE64DEE64}">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https://www.nationalgeographic.com/environment/article/why-tiny-forests-are-popping-up-in-big-cities</t>
      </text>
    </comment>
    <comment ref="AA109" authorId="50" shapeId="0" xr:uid="{BF329342-8359-47B4-A227-CC6C9A02DB9A}">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En moyenne, la plupart des estimations considèrent qu’un arbre nouvellement planté stocke entre 10 et 50 kg de CO2 par an (avec une moyenne de 20-30 kg par an pour la plupart des arbres communs). https://youmatter.world/fr/arbres-stocke-carbone-combien/</t>
      </text>
    </comment>
    <comment ref="AA110" authorId="51" shapeId="0" xr:uid="{AF84B2A4-EFA0-46A7-9DD7-B34E71882F44}">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En moyenne, la plupart des estimations considèrent qu’un arbre nouvellement planté stocke entre 10 et 50 kg de CO2 par an (avec une moyenne de 20-30 kg par an pour la plupart des arbres communs). https://youmatter.world/fr/arbres-stocke-carbone-combien/</t>
      </text>
    </comment>
    <comment ref="AA111" authorId="52" shapeId="0" xr:uid="{92E656AA-CF78-48E7-A4A2-B170DE50A32D}">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En moyenne, la plupart des estimations considèrent qu’un arbre nouvellement planté stocke entre 10 et 50 kg de CO2 par an (avec une moyenne de 20-30 kg par an pour la plupart des arbres communs). https://youmatter.world/fr/arbres-stocke-carbone-combien/</t>
      </text>
    </comment>
    <comment ref="U116" authorId="53" shapeId="0" xr:uid="{68F90969-59C6-4339-86EB-C5921A03CEEE}">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situatie in 2020 = 5 EV op totaal 19 personenwagens.
Réponse :
    5 op totaal van 52 voertuigen.</t>
      </text>
    </comment>
    <comment ref="Z116" authorId="54" shapeId="0" xr:uid="{74A931D5-6A3A-4A1C-962D-EFCC65E535D2}">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met groene stroom</t>
      </text>
    </comment>
    <comment ref="W119" authorId="55" shapeId="0" xr:uid="{9926F85D-8FF5-41BD-A4D3-2A75477BE529}">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s.d. --&gt; sans données</t>
      </text>
    </comment>
    <comment ref="Z119" authorId="56" shapeId="0" xr:uid="{0BA6E5A9-CE40-4261-9467-CA5D9644184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dur d'estimer, vue qu'au final les émissions des animaux doivent être quand même importante aussi</t>
      </text>
    </comment>
    <comment ref="W121" authorId="57" shapeId="0" xr:uid="{8E6297BD-EBD3-4A87-A7A5-1E68CBBD4CBB}">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(Sankey) seuls les chiffres pour homework sont indiqués</t>
      </text>
    </comment>
    <comment ref="Z123" authorId="58" shapeId="0" xr:uid="{4D557B79-CFBE-40EC-9FB6-753A390DB48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action qui encourrage la prise de vélo mais sans réduction direct a priori</t>
      </text>
    </comment>
    <comment ref="W126" authorId="59" shapeId="0" xr:uid="{47C3C400-5F55-4EA6-ABC9-94F5A3FC306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cfr. cellules séléctionnées?</t>
      </text>
    </comment>
    <comment ref="S128" authorId="60" shapeId="0" xr:uid="{FBE4AA1B-8D5E-432B-B156-043B51929774}">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mogelijk met km-teller van fietsen</t>
      </text>
    </comment>
    <comment ref="S130" authorId="61" shapeId="0" xr:uid="{1CF20A43-EFE3-4DFA-890D-A1AA18D0B21B}">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 des déplacement fait avec vélo ou vélo electriques. Deja à 2 %</t>
      </text>
    </comment>
    <comment ref="U130" authorId="62" shapeId="0" xr:uid="{85C885C7-0483-4679-A22C-5B425E2AEBC6}">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Enkel professionele verplaatsingen. Er zijn al 2 scholen die een elektrische fiets hebben. Niet duidelijk hoeveel die gebruikt wordt.
Réponse :
    2 scholen op 17 hebben al elek fiets.
Réponse :
    noteer dat de profes verplaatsingen in de carbon footprint busverplaatsingen zijn met de leerlingen. Dus heeft hier geen betrekking op. Deze post wordt zelfs niet meegenomen in de carbon footptrint, dus heeft geen effect.</t>
      </text>
    </comment>
    <comment ref="W130" authorId="63" shapeId="0" xr:uid="{DF83CBA0-4805-491A-B128-A9667C2D532D}">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Deze post wordt niet meegenomen in de carbon footprint. Professionele verplaatsingen scholen en kribbes zijn de bussen die gebruikt worden voor schoolreizen en zwembad, etc.</t>
      </text>
    </comment>
    <comment ref="Z130" authorId="64" shapeId="0" xr:uid="{0135DF6B-E3BE-40E3-A45E-9EB11E6867DA}">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In de veronderstelling dat ze het in 50% van de gevallen of van de afstand gebruiken.</t>
      </text>
    </comment>
    <comment ref="S131" authorId="65" shapeId="0" xr:uid="{D2A5F5BC-8281-4ED0-B3F3-AB92D3507CDA}">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Part modale en 2019 = 31% voiture</t>
      </text>
    </comment>
    <comment ref="W131" authorId="66" shapeId="0" xr:uid="{70610E05-A005-4AEF-BCAB-FD57823C853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admin + ecoles + crèches</t>
      </text>
    </comment>
    <comment ref="Z131" authorId="67" shapeId="0" xr:uid="{F49F3643-37F5-42C2-A111-4ED95855D8A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EF voiture 0,21 vs gemiddelde OV (0,04) en fiets (0)</t>
      </text>
    </comment>
    <comment ref="W132" authorId="68" shapeId="0" xr:uid="{AE8A1694-AFF1-47E0-A222-4054E3F59C66}">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2 voertuigen (compacteur)</t>
      </text>
    </comment>
    <comment ref="S133" authorId="69" shapeId="0" xr:uid="{40726BFC-C9C4-43D9-862C-DCE96F04AB3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dépend du type de bien (nourriture?)</t>
      </text>
    </comment>
    <comment ref="W133" authorId="70" shapeId="0" xr:uid="{AF91CB20-F64D-4F3B-AB88-D88A0B41F8DE}">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(Sankey) seuls les chiffres pour homework sont indiqués
Réponse :
    alimentation juste</t>
      </text>
    </comment>
    <comment ref="S134" authorId="71" shapeId="0" xr:uid="{5FD96CEC-CE7A-4AF0-AC0D-E301FFEB964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 commande groupée (p/r commande totale) ?</t>
      </text>
    </comment>
    <comment ref="T134" authorId="72" shapeId="0" xr:uid="{F4CF9513-9A31-4552-BB90-6DC4492ECA2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Possible a mesurer ?</t>
      </text>
    </comment>
    <comment ref="W134" authorId="73" shapeId="0" xr:uid="{99C5F68C-BE99-440F-8ED9-FCA87FA12F69}">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veronderstellen dat 2% van de afstand gedaan is voor transport colruyt ... to check</t>
      </text>
    </comment>
    <comment ref="W136" authorId="74" shapeId="0" xr:uid="{39C82753-0DA6-499F-8375-9B2D7E57C34B}">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pas de données</t>
      </text>
    </comment>
    <comment ref="T137" authorId="75" shapeId="0" xr:uid="{F3FDC675-E8C1-438A-9E00-C995486A185D}">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In de onderstelling dat 30% van de mensen kan thuiswerken.
Réponse :
    dit gaat wrsh meer zijn in 2030 om dat er meer digitaal gaat gebeuren. Dus kan er ook meer thuisgewerkt worden.</t>
      </text>
    </comment>
    <comment ref="W137" authorId="76" shapeId="0" xr:uid="{EA3BAB3C-555D-4391-9C0D-AD9AF131E19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charoi? car pas vraiment applicable aux trajets</t>
      </text>
    </comment>
    <comment ref="W139" authorId="77" shapeId="0" xr:uid="{F53E94D1-198E-478B-8251-C1952253EA59}">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schools, creches, admin buildings</t>
      </text>
    </comment>
    <comment ref="Z139" authorId="78" shapeId="0" xr:uid="{4A179FB5-0DDA-4315-A93C-D81C17928812}">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Action préparatoire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tc={6AD8BAC1-7841-48EB-A9E0-BDAB65266503}</author>
    <author>tc={A111AC6A-A6FC-4CB8-9D78-59650BE39D08}</author>
    <author>tc={9343A866-7B31-4585-91D4-C8C491D4AB0E}</author>
  </authors>
  <commentList>
    <comment ref="U2" authorId="0" shapeId="0" xr:uid="{6AD8BAC1-7841-48EB-A9E0-BDAB6526650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The original emission source, not taking into account cross corrections</t>
      </text>
    </comment>
    <comment ref="V2" authorId="1" shapeId="0" xr:uid="{A111AC6A-A6FC-4CB8-9D78-59650BE39D08}">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The emission source, taking into account cross corrections</t>
      </text>
    </comment>
    <comment ref="R185" authorId="2" shapeId="0" xr:uid="{9343A866-7B31-4585-91D4-C8C491D4AB0E}">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le reste de l'action 189</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<sst xmlns="http://schemas.openxmlformats.org/spreadsheetml/2006/main" count="7733" uniqueCount="2914">
  <si>
    <t>Nro</t>
  </si>
  <si>
    <t>Thématique</t>
  </si>
  <si>
    <t>Source_d_emission_niv1</t>
  </si>
  <si>
    <t>Objectif stratégique</t>
  </si>
  <si>
    <t xml:space="preserve">Objectif opérationel </t>
  </si>
  <si>
    <t>Action</t>
  </si>
  <si>
    <t>Action (proposition de formulation CO2logic)</t>
  </si>
  <si>
    <t>Type d'action</t>
  </si>
  <si>
    <t>Commentaires</t>
  </si>
  <si>
    <t>Source</t>
  </si>
  <si>
    <t>Vote</t>
  </si>
  <si>
    <t>Faisabilité</t>
  </si>
  <si>
    <t>Impact_climat</t>
  </si>
  <si>
    <t>Impact_air</t>
  </si>
  <si>
    <t>AFOM_Number</t>
  </si>
  <si>
    <t>Prio_Technique</t>
  </si>
  <si>
    <t>Prio_CO2</t>
  </si>
  <si>
    <t>Prio_politique</t>
  </si>
  <si>
    <t>Indicateur</t>
  </si>
  <si>
    <t>Niveau_ambition</t>
  </si>
  <si>
    <t>Niveau_ambition_année_de_base</t>
  </si>
  <si>
    <t>Année_cible</t>
  </si>
  <si>
    <t>Em_Original</t>
  </si>
  <si>
    <t>Em_combiné</t>
  </si>
  <si>
    <t>Cross_correction_number</t>
  </si>
  <si>
    <t>Reduction_unité (%)</t>
  </si>
  <si>
    <t>Réd_no_correction(tCO2e)</t>
  </si>
  <si>
    <t>Red_incl_cross_correction(tCO2e)</t>
  </si>
  <si>
    <t>Em_Remaining</t>
  </si>
  <si>
    <t>%ES</t>
  </si>
  <si>
    <t>% individual/totalCF</t>
  </si>
  <si>
    <t>Pilotes</t>
  </si>
  <si>
    <t>PP</t>
  </si>
  <si>
    <t>8.Ad.13</t>
  </si>
  <si>
    <t>Achats durables</t>
  </si>
  <si>
    <t>Achat (autre)</t>
  </si>
  <si>
    <t>OS 4 Utilisation de Green Public Procurement pour diminuer les émissions des achats ainsi que de leur cycle de vie</t>
  </si>
  <si>
    <t>Amélioration de la connaissance et meilleur suivi/mesure des produit et achats (durables)</t>
  </si>
  <si>
    <t>Inventaires annuel dans les services (eviter les stocks inutiles, matériel pertinent...)</t>
  </si>
  <si>
    <t>Faire un inventaire annuel dans les services (éviter les stocks inutiles, matériel pertinent...)</t>
  </si>
  <si>
    <t>reconditionnement et recherche de fillières</t>
  </si>
  <si>
    <t>Atelier</t>
  </si>
  <si>
    <t>Difficult</t>
  </si>
  <si>
    <t>Medium</t>
  </si>
  <si>
    <t>Low</t>
  </si>
  <si>
    <t>ToDo</t>
  </si>
  <si>
    <t>% service ayant réalisés leur inventaire</t>
  </si>
  <si>
    <t>8.Ad.3</t>
  </si>
  <si>
    <t>Développer une stratégie claire pour des achats durables</t>
  </si>
  <si>
    <t>Stratégie des marchés/achats à durabiliser en priorité (Insérer des critères écologiques, sociaux, éthiques et durables)</t>
  </si>
  <si>
    <t>Créer une stratégie des marchés/achats à durabiliser en priorité (Insérer des critères écologiques, sociaux, éthiques et durables)</t>
  </si>
  <si>
    <t>commencer par les marchés stocks</t>
  </si>
  <si>
    <t>Note cadre</t>
  </si>
  <si>
    <t>Easy</t>
  </si>
  <si>
    <t>Stratégie en place avec priorités + clause type + critère d'évaluation</t>
  </si>
  <si>
    <t>Limiter toute acquisition de nouveaux objets en plastique au stricte nécessaire (clause marché public)</t>
  </si>
  <si>
    <t xml:space="preserve">Limiter toute acquisition de nouveaux objets en plastique au stricte nécessaire (clause marché public). </t>
  </si>
  <si>
    <t>et reutiliser celui qui a été produit</t>
  </si>
  <si>
    <t>Inventaire produit plastique achetés + recommendations de replacement + directive de non utilisation + check fait par achat</t>
  </si>
  <si>
    <t>CA, DDE</t>
  </si>
  <si>
    <t>Tous les services</t>
  </si>
  <si>
    <t>Acheter du matériel IT durable, en collaboration avec le CRIB</t>
  </si>
  <si>
    <t>Acheter du matériel IT durable, en collaboration avec le CRIB (e.g. TCO label)</t>
  </si>
  <si>
    <t>% d'IT durable dans les nouveaux achats</t>
  </si>
  <si>
    <t>8.Ad.12</t>
  </si>
  <si>
    <t>Réduire l'emballage des produits</t>
  </si>
  <si>
    <t>Réduire déchets sur grosses commandes (éviter le suremballage)</t>
  </si>
  <si>
    <t>Réduire les déchets sur de grosses commandes (éviter le suremballage)</t>
  </si>
  <si>
    <t>démarrer avec le marché fourniture de bureau</t>
  </si>
  <si>
    <t>% réduction des déchets sur fourniture du bureau</t>
  </si>
  <si>
    <t>DDE, CA</t>
  </si>
  <si>
    <t>Bruxelles Environnement</t>
  </si>
  <si>
    <t>8.Ad.6</t>
  </si>
  <si>
    <t>Sensibilisation et changement de comportements lié aux achats durables</t>
  </si>
  <si>
    <t>Sensibiliser le personnel aux achats durables (trucs et astuces…)</t>
  </si>
  <si>
    <t>à lier avec écoteam</t>
  </si>
  <si>
    <t>Quantité de campagnes de sensibilisation / année</t>
  </si>
  <si>
    <t>DDE</t>
  </si>
  <si>
    <t>8.Ad.7</t>
  </si>
  <si>
    <t>Stimuler le partage et mutualisation des produit/outils "economie de partage"</t>
  </si>
  <si>
    <t>Réduire les appareils individuels en faveurs d'outils collectifs (imprimantes, café…)</t>
  </si>
  <si>
    <t xml:space="preserve">Réduire les appareils individuels en faveur d'outils collectifs (imprimantes, machines à café…) - après leur fin de vie. </t>
  </si>
  <si>
    <t>% appareils mutualisés</t>
  </si>
  <si>
    <t>8.Ad.5</t>
  </si>
  <si>
    <t>Favoriser l'économie fonctionnelle</t>
  </si>
  <si>
    <t>??? = VENDRE L'USAGE D'UN BIEN PLUTÔT QUE LE BIEN</t>
  </si>
  <si>
    <t>Average</t>
  </si>
  <si>
    <t>LongTerm</t>
  </si>
  <si>
    <t>Quantité d'achats évité via recours à économie fonctionnelle</t>
  </si>
  <si>
    <t>Acheter/Louer des machines en commun avec d'autres administrations</t>
  </si>
  <si>
    <t>Quantité d'achats en commun</t>
  </si>
  <si>
    <t>Espace de stockage pour mise en commun du matériel</t>
  </si>
  <si>
    <t>Libérer un epace de stockage pour mettre en commun des machines, du matériel et des matériaux de chantier</t>
  </si>
  <si>
    <t>Espace de stockage disponible, utilisé et connu</t>
  </si>
  <si>
    <t xml:space="preserve">Passage vers des datacenters régionaux ou hybrides </t>
  </si>
  <si>
    <t>Passer aux datacenters régionaux ou hybrides 100% electricité verte</t>
  </si>
  <si>
    <t>Quantité de datacenter 100% EV</t>
  </si>
  <si>
    <t>IT</t>
  </si>
  <si>
    <t>3.Ad.2</t>
  </si>
  <si>
    <t>Adaptation, gestion de l'eau et de la chaleur dans l'espace public</t>
  </si>
  <si>
    <t>Favoriser travail en extérieur dans les zones ombragées</t>
  </si>
  <si>
    <t>à lier avec le plan canicule</t>
  </si>
  <si>
    <t>3.Ad.3</t>
  </si>
  <si>
    <t>Placer des citernes dans bât. communaux pour chasse et arrosage</t>
  </si>
  <si>
    <t>Placer des citernes dans les bâtiments communaux pour utiliser l'eau à des fins d'arrosage ou de chasse</t>
  </si>
  <si>
    <t>gestion des débits compliqués dans les écoles, gestion des filtres compliqués --&gt; difficile pour les rénovations, favorser pour l'arrorage</t>
  </si>
  <si>
    <t>Done/ongoing</t>
  </si>
  <si>
    <t>3.Ad.4</t>
  </si>
  <si>
    <t>Mettre en plus une stratégies de bât. sans climatisation (ex: salle omnisport)</t>
  </si>
  <si>
    <t>Mettre en place une stratégie sans climatisation des bâtiments (ex: salle omnisport)</t>
  </si>
  <si>
    <t>mais les plaintes restent présentes malgré les techniques alternatives mises en œuvre</t>
  </si>
  <si>
    <t>High</t>
  </si>
  <si>
    <t>3.Ad.7</t>
  </si>
  <si>
    <t>Guider les bureaux d'études à envisager des matériaux durables dans les cahiers des charges de réno et constructions</t>
  </si>
  <si>
    <t>Demander aux bureaux d'études d'envisager des matériaux durables dans les cahiers des charges de rénovation et construction</t>
  </si>
  <si>
    <t>3.Ad.8</t>
  </si>
  <si>
    <t>Peindre toitures plates en couleur claires ou réfléchissante</t>
  </si>
  <si>
    <t>Peindre les toitures plates en couleurs claires ou réfléchissantes</t>
  </si>
  <si>
    <t>Préférence pour le photovoltaique ou les toitures vertes</t>
  </si>
  <si>
    <t>To_Consider</t>
  </si>
  <si>
    <t>3.Ad.9</t>
  </si>
  <si>
    <t>Avoir un plan pour isoler thermiquement l'ensemble des bâtiments</t>
  </si>
  <si>
    <t>Planifier l'isolaton thermique de l'ensemble des bâtiments</t>
  </si>
  <si>
    <t>voir PLAGE</t>
  </si>
  <si>
    <t>4.O.2</t>
  </si>
  <si>
    <t>% de m2 de batiment isolés</t>
  </si>
  <si>
    <t>3.Ad.11</t>
  </si>
  <si>
    <t>Trouver une solution pour verrière du Centrad surchaufée</t>
  </si>
  <si>
    <t>Résoudre le problème de surchauffe de la verrière du Centrad</t>
  </si>
  <si>
    <t>système d'ouverture automatique</t>
  </si>
  <si>
    <t>3.Ad.12</t>
  </si>
  <si>
    <t>Mettre en place le Freecooling et améliorer la ventiliation (ouverture des fenêtres la nuit) et mettre en place des procédures</t>
  </si>
  <si>
    <t>Mettre en place le Freecooling et améliorer la ventiliation (ouverture des fenêtres la nuit) 
Mettre en place des procédures</t>
  </si>
  <si>
    <t>idée : ajouter cette considération dans la procédure canicule</t>
  </si>
  <si>
    <t>3.Ad.14</t>
  </si>
  <si>
    <t>Exemplarité des bâtiments communaux</t>
  </si>
  <si>
    <t>Faire preuve d'exemplarité pour les bâtiments communaux</t>
  </si>
  <si>
    <t>3.Te.19</t>
  </si>
  <si>
    <t>Effectuer un contrôle constant de la température dans bât. pour optimiser chauffage</t>
  </si>
  <si>
    <t>Effectuer un contrôle constant de la température dans les batiments pour optimiser l'utilisation du chauffage</t>
  </si>
  <si>
    <t>Benchmark</t>
  </si>
  <si>
    <t>7.Ad.5</t>
  </si>
  <si>
    <t>Alimentation durable</t>
  </si>
  <si>
    <t>Achat (alimentation)</t>
  </si>
  <si>
    <t>Favoriser circuit-court</t>
  </si>
  <si>
    <t xml:space="preserve">Favoriser le circuit-court et de saison pour des évènement communaux. </t>
  </si>
  <si>
    <t>7.A.5</t>
  </si>
  <si>
    <t>% d'évènements avec plus de 75% de nourriture issue de produit circuit-court</t>
  </si>
  <si>
    <t>7.Ad.7</t>
  </si>
  <si>
    <t>Mettre en place un potager communal</t>
  </si>
  <si>
    <t>il faut de l'entretien, gérer la production….</t>
  </si>
  <si>
    <t>7.A.9</t>
  </si>
  <si>
    <t>Quantité (ou m2) de potagers communaux mis en place</t>
  </si>
  <si>
    <t>7.Ad.13</t>
  </si>
  <si>
    <t>Calendrier des produits de saisons avec bons de réductions chez commerçants jettois</t>
  </si>
  <si>
    <t>Offrir un calendrier des produits de saisons avec des bons de réductions chez les commerçants jettois (Territoire)</t>
  </si>
  <si>
    <t>7.A.8</t>
  </si>
  <si>
    <t>Abort</t>
  </si>
  <si>
    <t>Quantité de calendrier distribué</t>
  </si>
  <si>
    <t>Proposer des produits locaux, biologiques et de saison et sensibiliser les jeunes à l’intérêt de consommer local et de saison</t>
  </si>
  <si>
    <t>Sensibiliser les jeunes à l’intérêt de consommer local et de saison via le developpement de potagers dans les écoles et l'organisation d'une semaine de l'alimentation durable (territoire)</t>
  </si>
  <si>
    <t>il faut que se soit une volonté de l'école, pas d'imposition</t>
  </si>
  <si>
    <t>% école avec potager</t>
  </si>
  <si>
    <t>VSC</t>
  </si>
  <si>
    <t>Cuisines Bruxelloises</t>
  </si>
  <si>
    <t>7.Ad.10</t>
  </si>
  <si>
    <t>Recette de saison hebdomadaire sur l'intranet</t>
  </si>
  <si>
    <t>Proposer des recettes de saison hebdomadaires sur l'intranet</t>
  </si>
  <si>
    <t>à lier avec le lunch (recette du lunch online)</t>
  </si>
  <si>
    <t>7.A.7</t>
  </si>
  <si>
    <t>Recette publiée/semaine</t>
  </si>
  <si>
    <t>Instaurer des repas végétariens dans les cantines scolaires et ce au moins 2 repas par semaine</t>
  </si>
  <si>
    <t>Proposer des produits locaux et de saison dans les écoles et les crèches</t>
  </si>
  <si>
    <t>% des produits de saison et locaux dans les écoles</t>
  </si>
  <si>
    <t>Créer un catalogue "catering durable" pour les événements  avec une liste de producteurs locaux</t>
  </si>
  <si>
    <t>Catalogue disponible</t>
  </si>
  <si>
    <t>7.Ad.3</t>
  </si>
  <si>
    <t>Promotion de la consommation de produits végétaux et diminution de la viande/produit animaux</t>
  </si>
  <si>
    <t>Encourager réduction de consommation viande &amp; consommer une viande durable et locale (ateliers, communication, formation…)</t>
  </si>
  <si>
    <r>
      <t xml:space="preserve">Encourager la réduction de consommation viande &amp; consommer une viande durable et locale via des </t>
    </r>
    <r>
      <rPr>
        <b/>
        <sz val="11"/>
        <color theme="1"/>
        <rFont val="Calibri"/>
        <family val="2"/>
        <scheme val="minor"/>
      </rPr>
      <t>ateliers, communication, formation…</t>
    </r>
  </si>
  <si>
    <t>Quantité de campagnes de sensibilisation (administration, ecoles, … ) par année</t>
  </si>
  <si>
    <t xml:space="preserve">Augmenter les repas végétariens dans les cantines scolaires et les crèches.  </t>
  </si>
  <si>
    <t>2*/semaine végétarien dans les écoles/crèches mais soucis actuellement avec le cuisine --&gt; voir par contre le qualité gustative…</t>
  </si>
  <si>
    <t xml:space="preserve">% repas végétarien dans les écoles </t>
  </si>
  <si>
    <t xml:space="preserve">Seulement offrir de la nourriture végétarienne au sein de l'administration communales et les évènements communaux. </t>
  </si>
  <si>
    <t>CO2logic</t>
  </si>
  <si>
    <t>% de nourriture végé au sein de l'administration + les évènements communaux</t>
  </si>
  <si>
    <t>7.Ad.1</t>
  </si>
  <si>
    <t>Promotion de l'alimentaiton durable de manière générale</t>
  </si>
  <si>
    <t>Lunch de qualité pour agents communaux (ou une soupe)</t>
  </si>
  <si>
    <t>Proposer un lunch de qualité aux agents communaux (ou une soupe)</t>
  </si>
  <si>
    <t>7.O.2</t>
  </si>
  <si>
    <t>Obtenir le Label Good Food Cantine pour les écoles</t>
  </si>
  <si>
    <t>% des écoles avec le label Good Food Cantine de Bruxelles Environnement.</t>
  </si>
  <si>
    <t>Recourir à des foodtrucks électriques de repas sains pour les événements</t>
  </si>
  <si>
    <t xml:space="preserve">Promotion des produits biologiques. </t>
  </si>
  <si>
    <t>Proposer des produits biologiques dans les écoles et les crèches</t>
  </si>
  <si>
    <t>% de produit biologiques (en kg )</t>
  </si>
  <si>
    <t>7.Ad.8</t>
  </si>
  <si>
    <t>Se fournir dans commerces locaux BIO pour events (pas Colruyt uniquement)</t>
  </si>
  <si>
    <t>Recourir à des commerces locaux BIO pour les évenements communaux (pas Colruyt uniquement)</t>
  </si>
  <si>
    <t>7.A.6</t>
  </si>
  <si>
    <t>% d'évènement via commerces locales bio</t>
  </si>
  <si>
    <t>Réduire le gaspillage alimentaire</t>
  </si>
  <si>
    <t>Valorisation des invendus: magasins solidaires, restaurants sociaux etc. (collaboration pour les événements communaux --&gt; liste des acteurs sociaux)</t>
  </si>
  <si>
    <t>Valoriser les invendus des magasins, des restaurants ainsi que des traiteurs des événements communaux: magasins solidaires, restaurants sociaux etc. (ToGoodToGo)</t>
  </si>
  <si>
    <t>% d'évènement avec des invendus revalorisés</t>
  </si>
  <si>
    <t>4.Ad.5</t>
  </si>
  <si>
    <t>Consommation d'énergie et d'eau des bâtiments</t>
  </si>
  <si>
    <t>Energie (chauffage)</t>
  </si>
  <si>
    <t>OS 1 Diminuer la consommation d'eau des infrastructures communales, CPAS et logements sociaux</t>
  </si>
  <si>
    <t>Dispositifs et infrastructures d'économie d'eau</t>
  </si>
  <si>
    <t>Equiper les bâtiments d'équipements pour économiser l'eau (robinets automatiques, double chasse etc)</t>
  </si>
  <si>
    <t>Avoid</t>
  </si>
  <si>
    <t>Adapté a l'usager. Admin = ok, ecoles = plus compliquer. Année par année, batiment par batiment. A améliorer</t>
  </si>
  <si>
    <t>amount of sanitary users w/ saving mode implemented (other option: procedure de considération/reflexe - reflection sur nouveau robinet.)</t>
  </si>
  <si>
    <t>4.Ad.9</t>
  </si>
  <si>
    <t>Récupération et recyclage d'eau</t>
  </si>
  <si>
    <t>Etudier la possibilité de placer de grosses citernes d'eau de pluie à des endroits stratégiques dans la commune pour l'arrosage des plantations</t>
  </si>
  <si>
    <t>Etudier la possibilité de placer de grosses citernes d'eau de pluie à des endroits stratégiques dans la commune pour l'arrosage des plantations (dans les écoles, sur le territoire communal, etc.)</t>
  </si>
  <si>
    <t>Grosse renovation + nouveau batiments. Réflexe générale. Utilisation surtout au CTC. Avec maintenance du systeme. 
il faudrait une pompe ; éventuellement pour les potagers des écoles. 
idée : parc de la jeunesse</t>
  </si>
  <si>
    <t>% de nouveau batiment et grande rénovation avec systeme de récuperation</t>
  </si>
  <si>
    <t>4.Ad.6</t>
  </si>
  <si>
    <t>Energie (tous)</t>
  </si>
  <si>
    <t>Amélioration de la connaissance et meilleur suivi/mesure des économies d'énergie dans les bâtiments</t>
  </si>
  <si>
    <t xml:space="preserve">Participer à des échanges de bonnes pratiques entre communes </t>
  </si>
  <si>
    <t>Governance</t>
  </si>
  <si>
    <t xml:space="preserve">A initier par la région. Jette devrait participer aux sessions. Important de formaliser pour avoir le temps de le faire. Distinguer formation/seminaires avec les échanges avec les communes. Ici on veut l'applic pratique. Echanges de best practices. </t>
  </si>
  <si>
    <t>4.M.2</t>
  </si>
  <si>
    <t>nombre de participations (réunion/séminaires/echanges)</t>
  </si>
  <si>
    <t>4.Ad.25</t>
  </si>
  <si>
    <t>Mettre en place un monitoring des consommations en temps réel et une comptabilité énergétique (Système NR-Click) en partenariat avec Sibelga afin de pouvoir repérer les anomalies et réagir si nécessaire</t>
  </si>
  <si>
    <t>Knowledge</t>
  </si>
  <si>
    <t>actuellement suivi sur qq mois (temps réel pour qq bâtiments)</t>
  </si>
  <si>
    <t>% of buildings equiped</t>
  </si>
  <si>
    <t>4.Ad.2</t>
  </si>
  <si>
    <t>Améliorer la performance énergétique des batiments</t>
  </si>
  <si>
    <t>Construire les nouveaux batiments passif / BNE</t>
  </si>
  <si>
    <t>Construire les nouveaux batiments, passifs ou BNE</t>
  </si>
  <si>
    <r>
      <t>Poelbos new building/moins energievore.</t>
    </r>
    <r>
      <rPr>
        <b/>
        <sz val="11"/>
        <color theme="1"/>
        <rFont val="Calibri"/>
        <family val="2"/>
        <scheme val="minor"/>
      </rPr>
      <t xml:space="preserve"> Chaque nouveau batiment sera passif. </t>
    </r>
  </si>
  <si>
    <t>% de nouveaux batiments</t>
  </si>
  <si>
    <t>4.Ad.15</t>
  </si>
  <si>
    <t>Rénover via RénoClick, Sibelga</t>
  </si>
  <si>
    <t>Entreprendre des rénovations grâce à l'aide de RénoClick, Sibelga</t>
  </si>
  <si>
    <t>Ongoing</t>
  </si>
  <si>
    <t>4.O.1</t>
  </si>
  <si>
    <t>Amount of buildings renovated</t>
  </si>
  <si>
    <t>4.Ad.17</t>
  </si>
  <si>
    <t>Insérer des clauses d'éco-construction dans les cahiers des charges : bât. neutres</t>
  </si>
  <si>
    <t>Insérer des clauses d'éco-construction dans les cahiers des charges afin de tendre vers des batiments neutres</t>
  </si>
  <si>
    <t>Ecore plus loin que passif, matériaux, etc. Renovation + nouveau</t>
  </si>
  <si>
    <t>8.O.1</t>
  </si>
  <si>
    <t>% de CDC présentant des clauses d'éco-construction</t>
  </si>
  <si>
    <t>4.Ad.28</t>
  </si>
  <si>
    <t>Mettre en place un programme d’isolation des toitures des bâtiments communaux, avec pour objectif d’avoir isolé la plupart des grandes toitures pour la fin de la législature</t>
  </si>
  <si>
    <t>Mettre en place un programme d’isolation des toitures des bâtiments communaux, avec pour objectif d’isoler la plupart des grandes toitures pour la fin de la législature</t>
  </si>
  <si>
    <t>dépend du budget et en général cadre dans le cadre d'une rénovation plus large. Dans le cadre de Rénoclik, une liste des toiture à isoler avant panneaux photovol. (semble impossible pour la fin de la législature)</t>
  </si>
  <si>
    <t>% des toits isolés</t>
  </si>
  <si>
    <t>4.Ad.26</t>
  </si>
  <si>
    <t>Réaliser des économies d’énergie en remplaçant les équipements énergivores et les anciens chauffages, en commençant par les plus énergivores et polluantes (chaufferies au mazout)</t>
  </si>
  <si>
    <t>Enhance</t>
  </si>
  <si>
    <t>reste l'abbaye et les plantations, le reste a été changé</t>
  </si>
  <si>
    <t>L de mazout supprimé</t>
  </si>
  <si>
    <t>4.Ad.27</t>
  </si>
  <si>
    <t>Mettre en place une régulation sur les plus grosses chaufferies</t>
  </si>
  <si>
    <t>bcp sont équipées (les grosses installations sont régulées)</t>
  </si>
  <si>
    <t xml:space="preserve">Nombre d'installations </t>
  </si>
  <si>
    <t>4.Ad.30</t>
  </si>
  <si>
    <t>Energie (électricité)</t>
  </si>
  <si>
    <t>Remplacer les ampoules traditionnelles en fin de vie par des ampoules LED</t>
  </si>
  <si>
    <t>automatique mais cela prend bcp de temps (au cas par cas)</t>
  </si>
  <si>
    <t>% ampoules LED acheter par rapport total</t>
  </si>
  <si>
    <t>4.Ad.20</t>
  </si>
  <si>
    <t>Réaliser le plan d'action PLAGE pour améliorer la performance énergétique des batiments</t>
  </si>
  <si>
    <t>Mettre en œuvre le plan d'action PLAGE pour améliorer la performance énergétique des batiments</t>
  </si>
  <si>
    <t>Plage en place</t>
  </si>
  <si>
    <t>4.Ad.11</t>
  </si>
  <si>
    <t xml:space="preserve">Mettre en place une bonne gouvernance et un système de gestion permettant une amélioration continue. </t>
  </si>
  <si>
    <t>Bénéficier d'un employé temps plein sur les projets pilotes et de primes</t>
  </si>
  <si>
    <t>Allouer ou recruter un employé temps plein sur les projets pilotes et de primes</t>
  </si>
  <si>
    <t xml:space="preserve">subsidiologue … </t>
  </si>
  <si>
    <t>Quantité d'ETP subsidioloque</t>
  </si>
  <si>
    <t>4.Ad.18</t>
  </si>
  <si>
    <t>Augmenter le personnel et les ressources disponibles en lien avec les actions proposées</t>
  </si>
  <si>
    <t>Augmenter les ressources humaines et financières en lien avec les actions proposées</t>
  </si>
  <si>
    <t>A definir</t>
  </si>
  <si>
    <t>Quantité de personnes à analyser</t>
  </si>
  <si>
    <t>Introduire des demandes de subsides PPT</t>
  </si>
  <si>
    <t>Utilisation optimale des subsides régionale disponible (e.g. PPT (programme prioritaire des travaux))</t>
  </si>
  <si>
    <t xml:space="preserve">Subsides pour les écoles, etc. </t>
  </si>
  <si>
    <t>% utilisé de l'enveloppe disponible. (dossier soumis)</t>
  </si>
  <si>
    <t>Mettre en place une éco-team</t>
  </si>
  <si>
    <t xml:space="preserve">Personnes de tous les services. Dans le Jetsgo (un sousgroupe ecologie) &gt; this already exists. </t>
  </si>
  <si>
    <t>ecoteams en place</t>
  </si>
  <si>
    <t>4.Ad.1</t>
  </si>
  <si>
    <t>Sensibilisation et changement de comportements des gestionnaires et utilisateurs des bâtiments communaux</t>
  </si>
  <si>
    <t>Mettre en place des formation et sensibilisation du personnels dans les bâtiments</t>
  </si>
  <si>
    <t>Mettre en place des formations et sensibiliser le personnel occupant les bâtiments</t>
  </si>
  <si>
    <t xml:space="preserve">Service patrimoine communale + durable &gt; e.g. Intrajette, compteur watt, … P.e. 1 fois par année dans les bureaux + communication régulier. Qq en interne. Equipe à grande visibilité en interne. </t>
  </si>
  <si>
    <t>quantité de personnelle atteint /2 ans</t>
  </si>
  <si>
    <t>2022-2023</t>
  </si>
  <si>
    <t>4.Ad.3</t>
  </si>
  <si>
    <t>Sous action 4AD1 : Poster idées sur l'intranet</t>
  </si>
  <si>
    <t>Sous action 4AD1 : Poster des idées concernant l'économie d'énergie sur l'intranet</t>
  </si>
  <si>
    <t xml:space="preserve">Action pour la sensibilisation. </t>
  </si>
  <si>
    <t>4.F.1</t>
  </si>
  <si>
    <t>nombre publication minimum / an</t>
  </si>
  <si>
    <t>4.Ad.23</t>
  </si>
  <si>
    <t>Sous action 4AD1 : Sensibiliser les utilisateurs à l'utilisation du chauffage (ex : mesurer la t°…) avec consigne générale votée par collège/codi</t>
  </si>
  <si>
    <t>Sous action 4AD1 : Sensibiliser les utilisateurs à l'utilisation du chauffage (ex : mesurer la t°…) avec consigne générale votée par le Collège/Codir</t>
  </si>
  <si>
    <t>voir renoclick/plage</t>
  </si>
  <si>
    <t>Groupe de travail</t>
  </si>
  <si>
    <t>% de pers sensibilisées</t>
  </si>
  <si>
    <t>4.Ad.22</t>
  </si>
  <si>
    <t>Augmenter la production d’énergie photovoltaïque sur les bâtiments publics, en identifiant et en valorisant le potentiel ER des toitures des bâtiments communaux</t>
  </si>
  <si>
    <t>Augmenter la production d’énergie solaire sur les bâtiments publics, en identifiant et en valorisant le potentiel ER des toitures des bâtiments communaux</t>
  </si>
  <si>
    <t>Shift</t>
  </si>
  <si>
    <t>% de toitures équipées/toitures utilisables ; kwh produits normalisés par rapport à l'ensoleillement</t>
  </si>
  <si>
    <t>4.Ad.21</t>
  </si>
  <si>
    <t>Installer des chauffe-eau solaires</t>
  </si>
  <si>
    <t>Installer des chauffe eaux solaires</t>
  </si>
  <si>
    <t>En fonction de l'utilisé … ? Ou ? Maintenance compliquée … =&gt; Plus sur PV</t>
  </si>
  <si>
    <t>4.Ad.12</t>
  </si>
  <si>
    <t>Installer une cogen pour alimenter l'école Poelbos</t>
  </si>
  <si>
    <t>Installer une cogénération pour alimenter l'école Poelbos</t>
  </si>
  <si>
    <t xml:space="preserve">Impossible à mettre en œuvre. Next to UZ Jette. Il y a des tuyaux prévus entre les 2. Taille ?? </t>
  </si>
  <si>
    <t>4.Ad.29</t>
  </si>
  <si>
    <t>Recourir à un fournisseur d’électricité d’origine 100% verte pour tous les bâtiments communaux et du CPAS dans le cadre d’un marché conjoint avec les autres communes de la zone de police de Bruxelles-Ouest</t>
  </si>
  <si>
    <t>C'est fait</t>
  </si>
  <si>
    <t>% d'electricité verte</t>
  </si>
  <si>
    <t>4.Ad.7</t>
  </si>
  <si>
    <t>Considérer les changements de fonction des bât. lors de la conceptualisation</t>
  </si>
  <si>
    <t>Considérer les changements de fonction des bâtiments lors de la conceptualisation de ceux-ci</t>
  </si>
  <si>
    <t xml:space="preserve">Pour batiment admin c'est important. Pensez à des utilisation hors des heures d'utilisation classique. Modularité. Parties communes dans les écoles, ouvert, …  (e.g. salles de sport) Créer des clauses type. Reflexe service architecture. Integrate dans les cahier de charge. </t>
  </si>
  <si>
    <t>% integration dans cahier de charge service archi</t>
  </si>
  <si>
    <t>4.Ad.13</t>
  </si>
  <si>
    <t>Repenser les espace de travail pour les rationnaliser et les adapter à la nouvelle manière de travailler</t>
  </si>
  <si>
    <t>Repenser les espaces de travail pour les rationnaliser et les adapter à la nouvelle manière de travailler</t>
  </si>
  <si>
    <t xml:space="preserve">Aller plus loin … décision politique. Besoin d'analyse. Avec le télétravail =&gt; Besoin de moin d'espace ?? Politique cohérente = importante. Vandenschrieck (Prevention) = new. Theodore &gt; Maison communale </t>
  </si>
  <si>
    <t>Réduction de l'espace par rapport à 2019 (Politique de teletravail + en plan d'occupation des batiments))</t>
  </si>
  <si>
    <t>4.Ad.16</t>
  </si>
  <si>
    <t>Rationnaliser les chauffages : ne pas chauffer tout le bât. pour 3 pers</t>
  </si>
  <si>
    <t xml:space="preserve">Rationnaliser l'utilisation du chauffage (Chauffer les pièces utiles, en fonction de l'occupation du batiment) </t>
  </si>
  <si>
    <t xml:space="preserve">Lié à la sensibilisation. Si bcp de personnes en télétravail, regrouper … seulement possible quand un plan specifique. Idee: flexdesk: quand moins de personnes, reduire le chauffage sur une étage. Bien communiquer. Les personnes peuvent se mettre ou ils veulent mais une etage moins chauffée.  </t>
  </si>
  <si>
    <t>% surface.jours en T reduite</t>
  </si>
  <si>
    <t>6.Ad.1</t>
  </si>
  <si>
    <t>Déchets</t>
  </si>
  <si>
    <t>Amélioration de la connaissance et meilleur suivi/mesure des déchets</t>
  </si>
  <si>
    <t>Faire un inventaire des flux entrants sortants (admin) et mettre à jour les contrats</t>
  </si>
  <si>
    <t>Faire un inventaire des flux entrants et sortants et mettre à jour les contrats</t>
  </si>
  <si>
    <t>5.A.12</t>
  </si>
  <si>
    <t>Inventaire fait</t>
  </si>
  <si>
    <t>6.Ad.6</t>
  </si>
  <si>
    <t>Prise en compte de l'écoconception des produits</t>
  </si>
  <si>
    <t>Acheter du mobilier facilement réparable (mobilier éco-conçu)</t>
  </si>
  <si>
    <t>% de clause environnementale eco-conception intégré dans les achats</t>
  </si>
  <si>
    <t>CA</t>
  </si>
  <si>
    <t>6.Ad.3</t>
  </si>
  <si>
    <t>Réutilisation des matériaux pour éviter des déchets et s'inscrire dans une économie circulaire, tendre vers zero déchets</t>
  </si>
  <si>
    <t>Réutiliser les grandes affiches pour en faire des emballages cadeaux (ex: Noel)</t>
  </si>
  <si>
    <t>% affiche réutilisé</t>
  </si>
  <si>
    <t>Imprimerie</t>
  </si>
  <si>
    <t>6.Ad.17</t>
  </si>
  <si>
    <t xml:space="preserve">Créer un listing du matériel pour events zéro déchet </t>
  </si>
  <si>
    <t xml:space="preserve">Créer un listing du matériel pour organiser des events zéro déchet </t>
  </si>
  <si>
    <t>réactualiser la note de Jessy</t>
  </si>
  <si>
    <t>Listing créé</t>
  </si>
  <si>
    <t>DDE, Logistique</t>
  </si>
  <si>
    <t>Services organisateurs</t>
  </si>
  <si>
    <t>6.Ad.21</t>
  </si>
  <si>
    <t xml:space="preserve">Digitaliser des process pour éviter la consommation de papier </t>
  </si>
  <si>
    <t xml:space="preserve">Digitaliser les processus et manière de travailler pour diminuer la consommation de papier </t>
  </si>
  <si>
    <t>action sur l'achat de papier et les déchets de papier</t>
  </si>
  <si>
    <t>% de papier évité par la digitalisation / mieux avoir un KPI spécifique pour les processus et services à digitaliser (a élaborer)</t>
  </si>
  <si>
    <t>IT, Gestion de l'information</t>
  </si>
  <si>
    <t>6.Ad.8</t>
  </si>
  <si>
    <t>Placer des bacs à papier brouillon dans les copy corners et le récupérer pour en faire des blocs notes (à mettre au magasin)</t>
  </si>
  <si>
    <t>surtout influence sur l'achat de papier</t>
  </si>
  <si>
    <t>% de papier évité grâce à la récupération de papier brouillon</t>
  </si>
  <si>
    <t>Imprimerie, Magasin</t>
  </si>
  <si>
    <t>6.Ad.18</t>
  </si>
  <si>
    <t>Crèches communales : autoriser les couches réutilisables pour parents qui le souhaitent (un modèle homologué)</t>
  </si>
  <si>
    <t>Autoriser les couches réutilisables pour les parents qui le souhaitent (un modèle homologué) au sein des crèches communales</t>
  </si>
  <si>
    <t>% crèches utilisant des couches réutilisables</t>
  </si>
  <si>
    <t>Petite enfance, DDE</t>
  </si>
  <si>
    <t>6.Ad.19</t>
  </si>
  <si>
    <t>Crèches communales : mettre en place un système de revente de vêtements</t>
  </si>
  <si>
    <t>Mettre en place un système de revente de vêtements au sein des crèches communales</t>
  </si>
  <si>
    <t>% crèche avec système de revente</t>
  </si>
  <si>
    <t>Petite enfance</t>
  </si>
  <si>
    <t>7.Ad.2</t>
  </si>
  <si>
    <t>Mettre en place les tri des matières organiques dans les bât. Communaux (compost ou orange)</t>
  </si>
  <si>
    <t>Mettre en place le tri des matières organiques dans les batiments communaux (compost ou bac orange)</t>
  </si>
  <si>
    <t>6.A.4</t>
  </si>
  <si>
    <t>% de batiment avec tri de matières organiques</t>
  </si>
  <si>
    <t>DDE, PC, Propreté</t>
  </si>
  <si>
    <t>Tendre vers un fonctionnement zéro déchet de l’administration, en menant une réflexion sur les déchets produits en vue de les réduire drastiquement</t>
  </si>
  <si>
    <t>Tendre vers un fonctionnement zéro déchet de l’administration, en menant une réflexion sur les déchets produits en établissant une charte : tri, matériel, catering, etc.</t>
  </si>
  <si>
    <t>% réduction de la quantité de déchets totale (ou charte en place et plan d'action lancé)</t>
  </si>
  <si>
    <t>DDE Ombudsman</t>
  </si>
  <si>
    <t>CODI CA</t>
  </si>
  <si>
    <t>6.Ad.9</t>
  </si>
  <si>
    <t>Sensibilisation et changement de comportements lié à une économie circulaire et zero déchets</t>
  </si>
  <si>
    <t>Sensibiliser à l'impression noir et blanc &amp; recto verso</t>
  </si>
  <si>
    <t>Voir avec IT pour que ce soit paramétré par défault</t>
  </si>
  <si>
    <t>8.A.7</t>
  </si>
  <si>
    <t>% papier imprimé recto/verso (ou nombre de campagnes lancées)</t>
  </si>
  <si>
    <t>6.Ad.10</t>
  </si>
  <si>
    <t>Sensibiliser la hiérarchie aux nouvelles démarches</t>
  </si>
  <si>
    <t>% de cadre sensibilisé</t>
  </si>
  <si>
    <t>5.Ad.10</t>
  </si>
  <si>
    <t>Réglementer déchets/emballages dans marchés</t>
  </si>
  <si>
    <t>Réglementer l'utilisation d'emballages à usage unique dans les marchés</t>
  </si>
  <si>
    <t>% marché avec réglementation</t>
  </si>
  <si>
    <t>6.Ad.12</t>
  </si>
  <si>
    <t>Sensibiliser le personnel aux lunch zéro déchet (idee: achat groupé chez collègues qui en fabriquent)</t>
  </si>
  <si>
    <t>Sensibiliser le personnel aux lunchs zéro déchet (Achat groupé auprès de collègues fabricant des emballages réutilisables, ou autre)</t>
  </si>
  <si>
    <t>A faire avec l'ecoteam</t>
  </si>
  <si>
    <t>6.O.3</t>
  </si>
  <si>
    <t>% de lunch zéro déchet</t>
  </si>
  <si>
    <t>7.Ad.9</t>
  </si>
  <si>
    <t>Mettre en place un welkome pack DD pour les agents entrants</t>
  </si>
  <si>
    <t>Mettre en place un "welkome pack" de développement durable pour les agents entrants</t>
  </si>
  <si>
    <t>% des agents qui ont recu le welcome pack</t>
  </si>
  <si>
    <t>8.Ad.8</t>
  </si>
  <si>
    <t>Sensibiliser le personnel à l'utilisation de la donnerie jettoise</t>
  </si>
  <si>
    <t>Sensibiliser le personnel à l'utilisation de la donnerie jettoise (plutot Territoire ?)</t>
  </si>
  <si>
    <t>à lier avec l'écoteam</t>
  </si>
  <si>
    <t>% personnel sensibilisé à la jettoise</t>
  </si>
  <si>
    <t>Communication</t>
  </si>
  <si>
    <t>Campagne de sensibilisation au niveau du territoire</t>
  </si>
  <si>
    <t>Campagne de sensibilisation per année</t>
  </si>
  <si>
    <t>Inciter les professeurs et établissements scolaires à sensibiliser les élèves à la réduction des déchets, au gaspillage alimentaire et aux économies d’énergie</t>
  </si>
  <si>
    <t>Inciter les professeurs et établissements scolaires à sensibiliser les élèves à la réduction des déchets, au gaspillage alimentaire et aux économies d’énergie en vue de devenir des écoles "Zero déchet"</t>
  </si>
  <si>
    <t xml:space="preserve">Quantité de campagnes par année auprès des professeurs/écoles. </t>
  </si>
  <si>
    <t>Ecoles Enseignement
DDE EP (PP – ombudsman)</t>
  </si>
  <si>
    <t>DDE, Ecoles PC</t>
  </si>
  <si>
    <t>10.Ad.8</t>
  </si>
  <si>
    <t>Economie circulaire et durable</t>
  </si>
  <si>
    <t>Achat</t>
  </si>
  <si>
    <t>OS 6 Promouvoir l'économie circulaire et durable</t>
  </si>
  <si>
    <t>Amélioration de la connaissance et meilleur suivi/mesure sur l'economie circulaire et durable</t>
  </si>
  <si>
    <t>Réaliser une enquête auprès du personnel pour identifier les comportements/habitudes négatives</t>
  </si>
  <si>
    <t>voir écoteam</t>
  </si>
  <si>
    <t>% de réponse sur l'enquête</t>
  </si>
  <si>
    <t>10.Ad.1</t>
  </si>
  <si>
    <t>Economie circulaire pour des constructions neuves et de rénovation</t>
  </si>
  <si>
    <t>Intégrer économie circulaire dans le cahier des charges des constructions neuves et de rénovation</t>
  </si>
  <si>
    <t>Intégrer l'économie circulaire dans le cahier des charges des constructions neuves et de rénovation (utilisation de l'outil Totem)</t>
  </si>
  <si>
    <t>former les architectes et les aider dans la réalisation des cahiers des charges</t>
  </si>
  <si>
    <t>% nouveaux batiments construits/rénovés avec des pratiques d'économie circulaire (% de CDC avec clause économie circulaire)</t>
  </si>
  <si>
    <t>10.Ad.2</t>
  </si>
  <si>
    <t>Favoriser les commerces de proximité, les produits locaux et durables</t>
  </si>
  <si>
    <t>Favoriser les commerces de proximité et durable: label "Entreprise circulaire" et mise en valeur</t>
  </si>
  <si>
    <t>Favoriser les commerces de proximité et durables: label "Entreprise circulaire" (?) / "Label Entreprise Ecodynamique" / "No Impact Jette" / …  et mise en valeur</t>
  </si>
  <si>
    <t>la difficulté est de respecter la légalité du non cloisonnement</t>
  </si>
  <si>
    <t>% commerces partenaires avec label durable et economie circulaire (labels accepté à définir)</t>
  </si>
  <si>
    <t>Eviter les commandes de matériaux non europeens</t>
  </si>
  <si>
    <t>% de commandes EU</t>
  </si>
  <si>
    <t>10.Ad.6</t>
  </si>
  <si>
    <t>Prolongation de la durée de vie via la réutilisation et la réparation des matériaux et produits</t>
  </si>
  <si>
    <t>Mettre en place une procédure pour éviter de jeter le matériel déclassé réutilisable</t>
  </si>
  <si>
    <t>Mettre en place une procédure pour éviter de jeter le matériel déclassé réutilisable (voir ressourcerie)</t>
  </si>
  <si>
    <t>lier à la ressourcerie?</t>
  </si>
  <si>
    <t>Procedure en place</t>
  </si>
  <si>
    <t>DDE, juridique, autre?</t>
  </si>
  <si>
    <t>10.Ad.13</t>
  </si>
  <si>
    <t xml:space="preserve">Continuer à réparer les objets </t>
  </si>
  <si>
    <t>% objets réparés au lieu d'être jeté</t>
  </si>
  <si>
    <t>Réaliser des ateliers d'upcycling</t>
  </si>
  <si>
    <t>à lier à l'écoteam</t>
  </si>
  <si>
    <t>Quantité d'atelier organisé parr année</t>
  </si>
  <si>
    <t>10.Ad.16</t>
  </si>
  <si>
    <t>Hub pour jeunes entreprises d'upcycling et économie circulaire</t>
  </si>
  <si>
    <t>Hub pour jeunes entreprises d'upcycling et économie circulaire (= Territoire)</t>
  </si>
  <si>
    <t>incubateur commercial "auberge espagnol" (coaching de 3 mois) --&gt; jury de hub avec idée de projet durable</t>
  </si>
  <si>
    <t xml:space="preserve">Nbre de Hub </t>
  </si>
  <si>
    <t>10.Ad.19</t>
  </si>
  <si>
    <t>Sensibilisation et changement de comportements lié a l'économie circulaire et durable</t>
  </si>
  <si>
    <t>Campagne de sensibilisation sur l'économie circulaire</t>
  </si>
  <si>
    <t>étape 1</t>
  </si>
  <si>
    <t>Nombre de campagnes (ou personnes touché par la campagne)</t>
  </si>
  <si>
    <t>10.Ad.20</t>
  </si>
  <si>
    <t>Valoriser et améliorer la visibilité des petites annonces de l'Intranet</t>
  </si>
  <si>
    <t>Comm</t>
  </si>
  <si>
    <t>1.Ad.1</t>
  </si>
  <si>
    <t>Espaces verts/ biodiversité</t>
  </si>
  <si>
    <t>OS 7 Accompagner la biodiversité dans la nouvelle donne climatique</t>
  </si>
  <si>
    <t>Augmentation de la surface verte</t>
  </si>
  <si>
    <t>Finaliser projet de toiture jardin rue Léon Theodor 108</t>
  </si>
  <si>
    <t>Finaliser le projet de toiture jardin rue Léon Theodor 109</t>
  </si>
  <si>
    <t>Toiture jardin finalisé</t>
  </si>
  <si>
    <t>PC</t>
  </si>
  <si>
    <t>1.Ad.2</t>
  </si>
  <si>
    <t>Zones nature dans les projets de réaménagement des écoles</t>
  </si>
  <si>
    <t>Insérer des zones nature dans les projets de réaménagement des écoles</t>
  </si>
  <si>
    <t>Entretien à prévoir par la suite</t>
  </si>
  <si>
    <t>% de zones natures dans les projects de réaménagement des écoles</t>
  </si>
  <si>
    <t>Plantions</t>
  </si>
  <si>
    <t>1.Ad.4</t>
  </si>
  <si>
    <t xml:space="preserve">Installer des toitures vertes et des façades végétales sur les bâtiments communaux </t>
  </si>
  <si>
    <t>il faut choisir entre toiture verte et panneaux PV</t>
  </si>
  <si>
    <t>1.A.1</t>
  </si>
  <si>
    <t>% m2 de toitures verte installée par rapport à toiture classique</t>
  </si>
  <si>
    <t>1.Ad.9</t>
  </si>
  <si>
    <t>Végétalisation en hauteur plutot qu'en largeur</t>
  </si>
  <si>
    <t>Végétaliser en hauteur plutot qu'en largeur (Action a concretiser)</t>
  </si>
  <si>
    <t>quid de l'entetien (manque d'effectifs)</t>
  </si>
  <si>
    <t>étudier la faisabilité d’une allée verte allant du nord au sud de la commune</t>
  </si>
  <si>
    <t>Etudier la faisabilité d’une allée verte allant du nord au sud de la commune</t>
  </si>
  <si>
    <t>en continu semble compliqué</t>
  </si>
  <si>
    <t>Etude faite</t>
  </si>
  <si>
    <t>EP, Plantations</t>
  </si>
  <si>
    <t xml:space="preserve">Poursuivre la politique de maillage vert de protection et développement (plantations d’arbres et création de parcs), et </t>
  </si>
  <si>
    <t>Poursuivre la politique de maillage vert de protection et développement (plantations d’arbres et création de parcs)</t>
  </si>
  <si>
    <t>Politique de maillage verte en place</t>
  </si>
  <si>
    <t>Plantations</t>
  </si>
  <si>
    <t xml:space="preserve">Réaliser un état des lieux du potentiel de végétalisation (espaces publics, privés, espaces perdus…) </t>
  </si>
  <si>
    <t>moyen humain important</t>
  </si>
  <si>
    <t>Etat de lieu fait</t>
  </si>
  <si>
    <t>Expert via appel à projet BE ? CIRB ?</t>
  </si>
  <si>
    <t>Planter les espaces perdus via entre autres le concept de micro forêts, en s’inspirant de l’exemple de Milan</t>
  </si>
  <si>
    <t>Planter les espaces perdus via, entre autres, le concept de micro forêts (ex. : Milan)</t>
  </si>
  <si>
    <t>250 m2 per microforest on average</t>
  </si>
  <si>
    <t>m2 de de micro foret planté</t>
  </si>
  <si>
    <t>DDE (aspect participatif)</t>
  </si>
  <si>
    <t>Planter des arbres dans les rues lors de rénovation, lors de demande d’habitants (entre deux garages par exemple) ou d’initiative communale</t>
  </si>
  <si>
    <t>Planter des arbres dans les rues lors de rénovation, lors de demande d’habitants (entre deux garages par exemple) ou par initiative communale</t>
  </si>
  <si>
    <t>ok pour les rénovations</t>
  </si>
  <si>
    <t>Quantité d'arbres plantés</t>
  </si>
  <si>
    <t>EP</t>
  </si>
  <si>
    <t>Arriver par toutes ces actions à la plantation d’au moins 150 arbres supplémentaires par an à Jette.</t>
  </si>
  <si>
    <t>Arriver par toutes ces actions à la plantation d’au moins 150 arbres supplémentaires par an à Jette. (KPI global pour cette partie, pas une action)</t>
  </si>
  <si>
    <t>possible en prenant en compte plantez un arbre</t>
  </si>
  <si>
    <t>nombre arbre planté/an</t>
  </si>
  <si>
    <t>EP, Plantations, DDE</t>
  </si>
  <si>
    <t>1.Ad.3</t>
  </si>
  <si>
    <t>Sensibilisation et changement de comportements par rapport à la biodiversité</t>
  </si>
  <si>
    <t>Sensibilisation du personnel à la biodiversité</t>
  </si>
  <si>
    <t>Sensibiliser le personnel à la biodiversité</t>
  </si>
  <si>
    <t>A grouper avec action ecoteam</t>
  </si>
  <si>
    <t>1.A.4</t>
  </si>
  <si>
    <t xml:space="preserve">Campagnes de sensibilisation par rapport à la biodiversité par an. </t>
  </si>
  <si>
    <t>1.Ad.7</t>
  </si>
  <si>
    <t>Panneaux didactiques près des installations favorables à la biodiversité</t>
  </si>
  <si>
    <t>Placer des panneaux didactiques près des installations favorables à la biodiversité</t>
  </si>
  <si>
    <t>pré fleuris et fauchages tardifs prévu</t>
  </si>
  <si>
    <t>1.A.8</t>
  </si>
  <si>
    <t>Quantité de panneaux didactiques</t>
  </si>
  <si>
    <t>1.Ad.6</t>
  </si>
  <si>
    <t>Shift vers des espèces adaptés au nouveau climat</t>
  </si>
  <si>
    <t>Variétés d'arbres d'alignement adaptés au changement climatique</t>
  </si>
  <si>
    <t>Planter des variétés d'arbres d'alignement adaptés au changement climatique (conseil dans autres actions)</t>
  </si>
  <si>
    <t>attention, il faut tenir compte du fait que les indigènes deviennent moins adaptées</t>
  </si>
  <si>
    <t>1.A.6</t>
  </si>
  <si>
    <t>5.Ad.14</t>
  </si>
  <si>
    <t>Mobilité + Transport de marchandises et véhicules utilitaires</t>
  </si>
  <si>
    <t>Véhicules</t>
  </si>
  <si>
    <t>Electrifier le charroi communal</t>
  </si>
  <si>
    <t>Remplacer l’ensemble de la flotte thermique par des véhicules électriques d’ici 2035 au plus tard (Low Emission Mobility)</t>
  </si>
  <si>
    <t xml:space="preserve">!!! Obligation légale !!! Y compris les camion, etc. ? </t>
  </si>
  <si>
    <t>% de la flotte étant des véhicules électriques</t>
  </si>
  <si>
    <t>EP (charroi)</t>
  </si>
  <si>
    <t>5.Te.8</t>
  </si>
  <si>
    <t>Installer des bornes recharge électrique couplées à production E.R</t>
  </si>
  <si>
    <t>Installer des bornes de recharge électriques couplées à une production d'énergie renouvelable</t>
  </si>
  <si>
    <t>5.A.1</t>
  </si>
  <si>
    <t>quantité de bornes électriques</t>
  </si>
  <si>
    <t>5.Ad.3</t>
  </si>
  <si>
    <t>Déplacements domicile travail</t>
  </si>
  <si>
    <t>Promouvoir la transition modale afin de diminuer l'impact des véhicules thermiques</t>
  </si>
  <si>
    <t>Réaliser un challenge mobilité douce par service/département</t>
  </si>
  <si>
    <t>Réaliser un challenge de mobilité douce par service/département</t>
  </si>
  <si>
    <t>idée: randonnée vélo agents communaux (1x/an), impact pas sûr, mais ça va reprendre</t>
  </si>
  <si>
    <t>low</t>
  </si>
  <si>
    <t>Nombre de participant au challenge</t>
  </si>
  <si>
    <t>5.Ad.5</t>
  </si>
  <si>
    <t>Recourir aux animaux pour certains transports (ex: Schaerbeek ou nettoyage)</t>
  </si>
  <si>
    <t>Distance parcourue via animaux</t>
  </si>
  <si>
    <t>5.Ad.6</t>
  </si>
  <si>
    <t>Mettre en place un système de partage des gros véhicules entre communes</t>
  </si>
  <si>
    <t>5.F.1</t>
  </si>
  <si>
    <t>% de la flotte de gros véhicules partagés</t>
  </si>
  <si>
    <t>5.Ad.11</t>
  </si>
  <si>
    <t>Déplacements professionnels</t>
  </si>
  <si>
    <t>Recourir à une distribution du courrier carbon neutral: coursier vélo, label Bpost</t>
  </si>
  <si>
    <t>% distance de distribution neutre en carbone</t>
  </si>
  <si>
    <t>Encourager les jeunes à venir à l’école en vélo ou à pied</t>
  </si>
  <si>
    <t>Encourager les jeunes à venir à l’école en vélo ou à pied (Territoire)</t>
  </si>
  <si>
    <t>% éleves venant en vélo ou pied</t>
  </si>
  <si>
    <t>?</t>
  </si>
  <si>
    <t>Prévention et sécurité des écoliers</t>
  </si>
  <si>
    <t>Ecoles</t>
  </si>
  <si>
    <t>Augmenter le nombre d’écoles équipées de parkings vélo intérieurs</t>
  </si>
  <si>
    <t>Augmenter le nombre d’écoles équipées de parkings vélo intérieurs ainsi que les batiments publics</t>
  </si>
  <si>
    <t>ailleurs: remarque parkings pour citoyens (bâtiments publics)/ecoles à voir PC</t>
  </si>
  <si>
    <t>% batiments et écoles et batiments publiques possédant des parkings à vélo intérieur</t>
  </si>
  <si>
    <t>EP (mobilité)</t>
  </si>
  <si>
    <t>Encourager les plans de déplacements scolaires, les rangs et les rues scolaires là où c’est possible</t>
  </si>
  <si>
    <t xml:space="preserve">Encourager les rangs piétonier et les rues scolaires là où c’est possible (et les plans de déplacements scolaires ou c'est pas une obligation) (plutot Territoire) </t>
  </si>
  <si>
    <t xml:space="preserve">PDE obligatoire ts les 3 ans, PDS?, rangs scolaires écoles NL se fait </t>
  </si>
  <si>
    <t>% d'école avec un rang scolaire ou une rue scolaire</t>
  </si>
  <si>
    <t>Mener une réflexion sur l’utilisation de véhicules partagés</t>
  </si>
  <si>
    <t xml:space="preserve">Stimuler l’utilisation de véhicules partagés et électriques via des campagnes de sensibilisation et des groupes de réflection. </t>
  </si>
  <si>
    <t xml:space="preserve">% distance parcourue en voiture partagée </t>
  </si>
  <si>
    <t>Insérer systématiquement des clauses environnementales dans les cahiers des charges liés à l’achat de nouveaux véhicules, en fixant des objectifs plus ambitieux que ceux imposés par l’ordonnance « véhicules exemplaires »</t>
  </si>
  <si>
    <t>Insérer systématiquement des clauses environnementales dans les cahiers des charges liés à l’achat de nouveaux véhicules, en fixant des objectifs plus ambitieux que ceux imposés par l’ordonnance « véhicules exemplaires » (&gt; achat)</t>
  </si>
  <si>
    <t>% de clause environnementale ambitieux insérée dans les cahiers des charges</t>
  </si>
  <si>
    <t xml:space="preserve">Augmenter la part des déplacements professionnels du personnel communal en vélo et en vélo cargo / triporteurs et faire l’acquisition de matériel en ce sens </t>
  </si>
  <si>
    <t>leasing vélos pour les agents communaux en réflexion. Pour partie transport voir Transport des marchandises AD 12
flotte vélos électriques à augmenter (voir avec charroi)</t>
  </si>
  <si>
    <t>% distance professionnel parcourue en vélo, vélo cargo our triporteur</t>
  </si>
  <si>
    <t>Réaliser un plan de rationnalisation du charroi communal dans le but de réduire la flotte de véhicules</t>
  </si>
  <si>
    <t>Réduction de la flotte de véhicules combustion thermique</t>
  </si>
  <si>
    <t>5.Te.7</t>
  </si>
  <si>
    <t>Proposer des vélos électriques pour les enseignants (déplacements entre écoles)</t>
  </si>
  <si>
    <t xml:space="preserve">Mettre à disposition des vélos électriques pour les enseignants/leasing vélo electriques pour les enseignants/crèches. </t>
  </si>
  <si>
    <t xml:space="preserve">Enkel tussen scholen lijkt me niet interessant, voor leerkrachten en medewerkers kribbes wel. </t>
  </si>
  <si>
    <t>5.A.2</t>
  </si>
  <si>
    <t>% des enseignants/pericutrices avec vélo electrique</t>
  </si>
  <si>
    <t>5.Ad.7</t>
  </si>
  <si>
    <t>Réduire les nécessités de déplacements</t>
  </si>
  <si>
    <t>Réduire le transport des déchets</t>
  </si>
  <si>
    <t>Réduire les kilomètres parcourus dans le cadre du transport des déchets de propreté publique</t>
  </si>
  <si>
    <t>?????</t>
  </si>
  <si>
    <t>% de distance réduite pour le transport de déchet</t>
  </si>
  <si>
    <t>5.Ad.8</t>
  </si>
  <si>
    <t>Favoriser fournisseurs locaux + pourront livrer à vélo</t>
  </si>
  <si>
    <t>Favoriser les fournisseurs locaux afin de diminuer les déplacements nécessaires et favoriser les livraisons à vélo</t>
  </si>
  <si>
    <t>% fournisseurs locaux</t>
  </si>
  <si>
    <t>5.Ad.9</t>
  </si>
  <si>
    <t>Organiser des commandes groupées (ex Colruyt) pour limiter les transports par les magasiniers</t>
  </si>
  <si>
    <t>une rationnalisation des trajets vers colruyt est déjà faite</t>
  </si>
  <si>
    <t>Réduction de nombre de transport par les magasiniers</t>
  </si>
  <si>
    <t>Décentraliser des crèches communales dans différents quartiers</t>
  </si>
  <si>
    <t>Décentraliser des crèches communales dans différents quartiers (&gt; Territoire)</t>
  </si>
  <si>
    <t>Nbre de crèche décenralisée</t>
  </si>
  <si>
    <t>Réduire les trajets des citoyens vers l’administration en les sensibilisant aux outils numériques leurs permettant de télécharger directement des actes administratifs ou de les commander en ligne sans déplacement à l’administration</t>
  </si>
  <si>
    <t>(Réduire les trajets des citoyens vers l’administration en les sensibilisant aux outils numériques leur permettant de télécharger directement des actes administratifs ou de les commander en ligne sans déplacement (&gt; Territoire !))</t>
  </si>
  <si>
    <t>% trajet évité via administration en ligne</t>
  </si>
  <si>
    <t>Gestion de l’information</t>
  </si>
  <si>
    <t>CIRB Etat civil</t>
  </si>
  <si>
    <t>Encourager le télétravail pour limiter les déplacements domicile-travail (norme proposée à 2j/semaine pour les fonctions télétravilables)</t>
  </si>
  <si>
    <t>Encourager le télétravail pour limiter les déplacements domicile-travail (norme proposée à 2j/semaine pour les fonctions télétravaillables)</t>
  </si>
  <si>
    <t>voir leasing vélos en réflexion et action AD 3</t>
  </si>
  <si>
    <t xml:space="preserve">% jour/employé fait en télétravail pour ceux pour qui c'est faisable. </t>
  </si>
  <si>
    <t>IT, Service Personnel</t>
  </si>
  <si>
    <t>Chefs de services</t>
  </si>
  <si>
    <t>Utiliser et encourage le budget de mobilité</t>
  </si>
  <si>
    <t>% de personnes qui utilisent le budget de mobilité</t>
  </si>
  <si>
    <t>2.Ad.1</t>
  </si>
  <si>
    <t>Sensibilisation/ gouvernance</t>
  </si>
  <si>
    <t>Crééer un groupe de travail formel pour développer stratégie de changement de comportement</t>
  </si>
  <si>
    <t>Créer un groupe de travail formel pour développer une stratégie de changement de comportement, une ecoTeam</t>
  </si>
  <si>
    <t>Groupe de travail mis en place</t>
  </si>
  <si>
    <t>Jette's go? Didier?</t>
  </si>
  <si>
    <t>2.Ad.11</t>
  </si>
  <si>
    <t>Renforcer les synergies des différents services sur les projets transversaux</t>
  </si>
  <si>
    <t>voir admin 2,0</t>
  </si>
  <si>
    <t>Plan d'action pour renforcer les synergies en place</t>
  </si>
  <si>
    <t>2.Ad.4</t>
  </si>
  <si>
    <t>Formation et sensibilisation</t>
  </si>
  <si>
    <t>Afficher/Communiquer actions déjà mise en place + résultats et Mettre un place une stratégie de communication interne pour tous les niveaux</t>
  </si>
  <si>
    <t>Mettre un place une stratégie de communication interne pour tous les niveaux</t>
  </si>
  <si>
    <t>facile de mettre qqch mais difficile de trouver le moyen ideal</t>
  </si>
  <si>
    <t>Stratégie de communication mise en place</t>
  </si>
  <si>
    <t>2.Ad.8</t>
  </si>
  <si>
    <t>Mettre en place une formation pratique du personnel en DD</t>
  </si>
  <si>
    <t>Voir action ecoteam (sous action)</t>
  </si>
  <si>
    <t>% d'employé formé à la formation DD</t>
  </si>
  <si>
    <t>GRH</t>
  </si>
  <si>
    <t>2.Te.17</t>
  </si>
  <si>
    <t>Organiser des mini-formations pour les puéricultrices à l’utilisation de bricolages avec des matières recyclées</t>
  </si>
  <si>
    <t>% Puéricultrice formée</t>
  </si>
  <si>
    <t>Sensibiliser le personnel de l’administration au développement durable en tant que culture d’entreprise, via des activités proposées au cours de l’année</t>
  </si>
  <si>
    <t>Sensibiliser le personnel de l’administration en vue d'intégrer en tant que culture d’entreprise, le développement durable et ce, via des activités proposées au cours de l’année</t>
  </si>
  <si>
    <t>via écoteam</t>
  </si>
  <si>
    <t>Quantité d'activités proposé par année</t>
  </si>
  <si>
    <t>Chefs de services, CODI</t>
  </si>
  <si>
    <t>2.Ad.12</t>
  </si>
  <si>
    <t xml:space="preserve">Stimuler la participation de tous les parties prenantes </t>
  </si>
  <si>
    <t>Elaboration participative des plans d'actions (votes etc.)</t>
  </si>
  <si>
    <t>Elaborer de manière participative les plans d'actions (votes etc.)</t>
  </si>
  <si>
    <t>identifier les actions du plan climat où une participation est nécessaire/possible dans leur mise en œuvre</t>
  </si>
  <si>
    <t>Analyse et processus participatif mis en place pour les plans d'actions</t>
  </si>
  <si>
    <t>2.Te.8</t>
  </si>
  <si>
    <t>Communiquer/impliquer le personnel dans les actions citoyennes/événements communaux</t>
  </si>
  <si>
    <t>Communiquer/impliquer le personnel dans les actions citoyennes/événements communaux (a intégrer dans le plan de communication)</t>
  </si>
  <si>
    <t>Communications par année</t>
  </si>
  <si>
    <t>2.Ad.10</t>
  </si>
  <si>
    <t xml:space="preserve">Engagement fort des responsables communaux (exemplarité, autre? </t>
  </si>
  <si>
    <t>Demander un engagement fort des responsables communaux (exemplarité)</t>
  </si>
  <si>
    <t xml:space="preserve"> voir ce qui permettrait à  l'admin de sentir l'engagement fort. ID faire des défis pour le codi collège, ciblé sur les points à améliorer (pas imposé mais fournir une liste typeNIJ</t>
  </si>
  <si>
    <t>% de personnes du CODI/Collèges qui font un engagement concret</t>
  </si>
  <si>
    <t>2.Ad.15</t>
  </si>
  <si>
    <t>Eco-exemplarité de l'administration envers citoyens</t>
  </si>
  <si>
    <t>Faire preuve d'éco-exemplarité envers les citoyens (pas une vrai action, trop large)</t>
  </si>
  <si>
    <t>Utiliser par défaut le moteur de recherche Ecosia au sein de l’administration</t>
  </si>
  <si>
    <t>% personnel de l'administration utilisant Ecosia</t>
  </si>
  <si>
    <t>Encourager les écoles à obtenir le label « Eco-Schools » ou autre label</t>
  </si>
  <si>
    <t>% des ecoles avec un label Eco-Schools</t>
  </si>
  <si>
    <t>Priorité Stratégique</t>
  </si>
  <si>
    <t>Actions</t>
  </si>
  <si>
    <t>Catégorie</t>
  </si>
  <si>
    <t>tCO2</t>
  </si>
  <si>
    <t>% thema</t>
  </si>
  <si>
    <t>% total</t>
  </si>
  <si>
    <t>Prio CO2Logic</t>
  </si>
  <si>
    <t>Prio Copil</t>
  </si>
  <si>
    <t>KPI</t>
  </si>
  <si>
    <t>KPI definition</t>
  </si>
  <si>
    <t>Année cible</t>
  </si>
  <si>
    <t>Investment</t>
  </si>
  <si>
    <t>Payback (années)</t>
  </si>
  <si>
    <r>
      <t xml:space="preserve">Chauffage des Ecoles et Crèches (20%) + Chauffage des batiments communales (15%) </t>
    </r>
    <r>
      <rPr>
        <b/>
        <sz val="11"/>
        <color rgb="FF00B050"/>
        <rFont val="Calibri"/>
        <family val="2"/>
        <scheme val="minor"/>
      </rPr>
      <t>(35%)</t>
    </r>
  </si>
  <si>
    <t>Diminuer la consommation d'eau des infrastructures communales, CPAS et logements sociaux</t>
  </si>
  <si>
    <t>Eviter</t>
  </si>
  <si>
    <t>17-30</t>
  </si>
  <si>
    <t>Améliorer</t>
  </si>
  <si>
    <t>Décaler</t>
  </si>
  <si>
    <t>Connaissances</t>
  </si>
  <si>
    <t>Sensibilisation</t>
  </si>
  <si>
    <t>Gouvernance</t>
  </si>
  <si>
    <r>
      <t xml:space="preserve">Déplacements domicile travail (agents communaux, enseignant, crèches) </t>
    </r>
    <r>
      <rPr>
        <b/>
        <sz val="11"/>
        <color rgb="FF00B050"/>
        <rFont val="Calibri"/>
        <family val="2"/>
        <scheme val="minor"/>
      </rPr>
      <t>(23%)</t>
    </r>
  </si>
  <si>
    <t>Amélioration</t>
  </si>
  <si>
    <r>
      <t>Alimentation dans les écoles et les crèches</t>
    </r>
    <r>
      <rPr>
        <b/>
        <sz val="11"/>
        <color rgb="FF00B050"/>
        <rFont val="Calibri"/>
        <family val="2"/>
        <scheme val="minor"/>
      </rPr>
      <t xml:space="preserve"> (10%)</t>
    </r>
  </si>
  <si>
    <r>
      <t xml:space="preserve">Achat du materiel IT de l'administration </t>
    </r>
    <r>
      <rPr>
        <b/>
        <sz val="11"/>
        <color rgb="FF00B050"/>
        <rFont val="Calibri"/>
        <family val="2"/>
        <scheme val="minor"/>
      </rPr>
      <t>(6%)</t>
    </r>
  </si>
  <si>
    <r>
      <t xml:space="preserve">Déchets SPEV - Territoire </t>
    </r>
    <r>
      <rPr>
        <b/>
        <sz val="11"/>
        <color rgb="FF00B050"/>
        <rFont val="Calibri"/>
        <family val="2"/>
        <scheme val="minor"/>
      </rPr>
      <t>(10%)</t>
    </r>
  </si>
  <si>
    <t>Eviter (Reuse)</t>
  </si>
  <si>
    <t>Eviter (Reduce)</t>
  </si>
  <si>
    <t>Décaler (Reuse)</t>
  </si>
  <si>
    <t>Décaler (Recycle)</t>
  </si>
  <si>
    <t>N/A</t>
  </si>
  <si>
    <t>KPI arbres</t>
  </si>
  <si>
    <t>Niveau 1</t>
  </si>
  <si>
    <t>Niveau 2</t>
  </si>
  <si>
    <t>Niveau 3</t>
  </si>
  <si>
    <t>%</t>
  </si>
  <si>
    <t>tCO2e</t>
  </si>
  <si>
    <t>Gaz naturel</t>
  </si>
  <si>
    <t>Mobilité</t>
  </si>
  <si>
    <t>Déplacements domicile -travail 
Agents communaux</t>
  </si>
  <si>
    <t>Voiture</t>
  </si>
  <si>
    <t>Déplacements domicile-travail</t>
  </si>
  <si>
    <t>Agents communaux</t>
  </si>
  <si>
    <t>Electricité</t>
  </si>
  <si>
    <t>Transport commun</t>
  </si>
  <si>
    <t>Enseignants</t>
  </si>
  <si>
    <t>Mazout</t>
  </si>
  <si>
    <t>Vélo</t>
  </si>
  <si>
    <t>Crèches</t>
  </si>
  <si>
    <t>Carburants</t>
  </si>
  <si>
    <t>Marche</t>
  </si>
  <si>
    <t>Déplacement professionel</t>
  </si>
  <si>
    <t>Déplacements domicile -travail 
Enseignants FR</t>
  </si>
  <si>
    <t>Charroi Communale</t>
  </si>
  <si>
    <t>Domicile-travail</t>
  </si>
  <si>
    <t>Energie</t>
  </si>
  <si>
    <t>Alimentation</t>
  </si>
  <si>
    <t>Plantation</t>
  </si>
  <si>
    <t>Déplacements domicile -travail
Enseignants NL</t>
  </si>
  <si>
    <t>Batiments communaux</t>
  </si>
  <si>
    <t>Entretien</t>
  </si>
  <si>
    <t>Logements</t>
  </si>
  <si>
    <t>Matériel IT</t>
  </si>
  <si>
    <t>Papier</t>
  </si>
  <si>
    <t>TOTAL</t>
  </si>
  <si>
    <t>Déplacements domicile -travail
Crèches communales</t>
  </si>
  <si>
    <t>Déplacements pro 
Agents</t>
  </si>
  <si>
    <t>Avion</t>
  </si>
  <si>
    <t>Achats</t>
  </si>
  <si>
    <t>Voiture perso</t>
  </si>
  <si>
    <t>Autres</t>
  </si>
  <si>
    <t>Déplacements pro
Ecoles</t>
  </si>
  <si>
    <t>Bus</t>
  </si>
  <si>
    <t>Charroi communale</t>
  </si>
  <si>
    <t>Camion</t>
  </si>
  <si>
    <t>Petit utilitaire léger</t>
  </si>
  <si>
    <t>Voitures</t>
  </si>
  <si>
    <t>Voitures élec</t>
  </si>
  <si>
    <t>Machine</t>
  </si>
  <si>
    <t>Points électriques</t>
  </si>
  <si>
    <t>Eclairage public communal</t>
  </si>
  <si>
    <t>PV</t>
  </si>
  <si>
    <t>Achats IT</t>
  </si>
  <si>
    <t>TCO2e</t>
  </si>
  <si>
    <t>Tablettes</t>
  </si>
  <si>
    <t>Petits équipements</t>
  </si>
  <si>
    <t>Ecrans</t>
  </si>
  <si>
    <t>PC portable</t>
  </si>
  <si>
    <t xml:space="preserve">Mazout </t>
  </si>
  <si>
    <t>Imprimante</t>
  </si>
  <si>
    <t>Hard drive</t>
  </si>
  <si>
    <t>Batterie</t>
  </si>
  <si>
    <t>Serveurs</t>
  </si>
  <si>
    <t>SPEV - territoire</t>
  </si>
  <si>
    <t>Corbeille et balayage</t>
  </si>
  <si>
    <t>PC tour</t>
  </si>
  <si>
    <t>Versage sauvage</t>
  </si>
  <si>
    <t>Firewall</t>
  </si>
  <si>
    <t>Déchets ménagers encombrant</t>
  </si>
  <si>
    <t>Casques</t>
  </si>
  <si>
    <t>Boues</t>
  </si>
  <si>
    <t>Licence</t>
  </si>
  <si>
    <t>Déchets ménagers</t>
  </si>
  <si>
    <t>Modem</t>
  </si>
  <si>
    <t>Déchets plastiques</t>
  </si>
  <si>
    <t>Switch</t>
  </si>
  <si>
    <t>Tableaux interractifs</t>
  </si>
  <si>
    <t>Jette info</t>
  </si>
  <si>
    <t>Baffles</t>
  </si>
  <si>
    <t>Projecteur</t>
  </si>
  <si>
    <t xml:space="preserve">Entretien </t>
  </si>
  <si>
    <t xml:space="preserve">Plantation </t>
  </si>
  <si>
    <t>Administration</t>
  </si>
  <si>
    <t>Denrées alimentaires</t>
  </si>
  <si>
    <t>TERRITOIRE</t>
  </si>
  <si>
    <t>tCO2e - 2018</t>
  </si>
  <si>
    <t>ktCO2e</t>
  </si>
  <si>
    <t>Résidentiel</t>
  </si>
  <si>
    <t>Charbon</t>
  </si>
  <si>
    <t>Study Result</t>
  </si>
  <si>
    <t>Gas</t>
  </si>
  <si>
    <t>Heating</t>
  </si>
  <si>
    <t>Sanitary hot water</t>
  </si>
  <si>
    <t>Chaleur</t>
  </si>
  <si>
    <t>Cooking</t>
  </si>
  <si>
    <t>Elec</t>
  </si>
  <si>
    <t>Lighting</t>
  </si>
  <si>
    <t>Butane, propane</t>
  </si>
  <si>
    <t>Airco/ventilation</t>
  </si>
  <si>
    <t>Bois</t>
  </si>
  <si>
    <t>IT material</t>
  </si>
  <si>
    <t>Administration communale</t>
  </si>
  <si>
    <t>Tertiaire</t>
  </si>
  <si>
    <t>Elevators</t>
  </si>
  <si>
    <t>Other</t>
  </si>
  <si>
    <t>Reste du tertiaire</t>
  </si>
  <si>
    <t>Fioul Lourd - Mazout</t>
  </si>
  <si>
    <t>Fioul lourd</t>
  </si>
  <si>
    <t>Transport routier</t>
  </si>
  <si>
    <t>Utilitaires légers</t>
  </si>
  <si>
    <t>Véhicules lourds</t>
  </si>
  <si>
    <t>Bus et cars STIB</t>
  </si>
  <si>
    <t>Eclairage public</t>
  </si>
  <si>
    <t>Bus et cars hors STIB</t>
  </si>
  <si>
    <t>2 roues motorisé</t>
  </si>
  <si>
    <t>Industrie</t>
  </si>
  <si>
    <t>Cogénerations</t>
  </si>
  <si>
    <t>Transport ferroviaire</t>
  </si>
  <si>
    <t xml:space="preserve">Transport offroad </t>
  </si>
  <si>
    <t>Pertes</t>
  </si>
  <si>
    <t>check</t>
  </si>
  <si>
    <t>Identifier les possibilités d'acquisition de nouveaux objets dans d'autres matériaux que le plastique (clause marché public)</t>
  </si>
  <si>
    <t xml:space="preserve">Passer aux datacenters régionaux ou hybrides </t>
  </si>
  <si>
    <t>% de serveurs sur datacenter on the cloud</t>
  </si>
  <si>
    <t>Promouvoir l'alimentation durable au sein de l' administration communale</t>
  </si>
  <si>
    <t>Consommation local et de saison</t>
  </si>
  <si>
    <t>Recette publiée/saison</t>
  </si>
  <si>
    <t>Quelle marge de manœuvre pour le KPI ? Semble difficile dans le marché actuel</t>
  </si>
  <si>
    <r>
      <t xml:space="preserve">Sensibiliser le personnel à l’alimentation durable (biologique, locale, zéro déchet, ...) et encourager la réduction de consommation viande et la consommer une viande durable et locale via des </t>
    </r>
    <r>
      <rPr>
        <b/>
        <sz val="11"/>
        <color theme="1"/>
        <rFont val="Calibri"/>
        <family val="2"/>
        <scheme val="minor"/>
      </rPr>
      <t>ateliers, communication, formation…</t>
    </r>
  </si>
  <si>
    <t>Quantité de campagnes de sensibilisation (administration, ecoles, … )</t>
  </si>
  <si>
    <r>
      <t>Augmenter les repas végétariens dans les cantines scolaires et les crèches</t>
    </r>
    <r>
      <rPr>
        <sz val="11"/>
        <color rgb="FFFF0000"/>
        <rFont val="Calibri"/>
        <family val="2"/>
        <scheme val="minor"/>
      </rPr>
      <t xml:space="preserve"> et envisager de proposer un menu végétarien au choix supplémentaire </t>
    </r>
  </si>
  <si>
    <t>% repas végétarien dans les écoles / % de répas avec des légumes de saison</t>
  </si>
  <si>
    <t>Collaborer avec les cuisines bruxelloises pour qu'elles obtiennent le label Good Food Cantines</t>
  </si>
  <si>
    <t>Adapté a l'usager. Admin = ok, ecoles = plus compliquer. Année par année, batiment par batiment. A améliorer. Sami:  Attention à la temporisation sur robinets et voir quoi faire pour douches</t>
  </si>
  <si>
    <t>nombre de participations (réunion/séminaires/echanges) / an</t>
  </si>
  <si>
    <t>Après travaux de rénovation dans une crèche, faire vérifier la qualité de l'air intérieur et remédier aux problèmes (vérifications à faire par le maitre d’œuvre à intégrer aux marchés)</t>
  </si>
  <si>
    <t>% de verification de qualité d'aire après rénovation dans les crèches</t>
  </si>
  <si>
    <t>Mettre en place un programme d’isolation des toitures des bâtiments communaux</t>
  </si>
  <si>
    <r>
      <rPr>
        <sz val="11"/>
        <color rgb="FFFF0000"/>
        <rFont val="Calibri"/>
        <family val="2"/>
        <scheme val="minor"/>
      </rPr>
      <t>Prévoir</t>
    </r>
    <r>
      <rPr>
        <sz val="11"/>
        <rFont val="Calibri"/>
        <family val="2"/>
        <scheme val="minor"/>
      </rPr>
      <t xml:space="preserve"> les ressources humaines et financières en lien avec les actions proposées </t>
    </r>
    <r>
      <rPr>
        <sz val="11"/>
        <color rgb="FFFF0000"/>
        <rFont val="Calibri"/>
        <family val="2"/>
        <scheme val="minor"/>
      </rPr>
      <t>(priorités à définir en vue d'atteindre les objectifs)</t>
    </r>
  </si>
  <si>
    <t>Utilisation optimale des subsides régionaux disponibles (e.g. PPT (programme prioritaire des travaux))</t>
  </si>
  <si>
    <t>Personnes de tous les services. Dans le Jetsgo (un sousgroupe ecologie) &gt; this already exists. Sami: En lien avec la sensibilisation, voir comment intégrer dans les Jet's go</t>
  </si>
  <si>
    <t>Action pour la sensibilisation. Sami: Essayer de tenir au courant le personnel sur le PAC et sur le différentes mesures , etc..</t>
  </si>
  <si>
    <t>Shift vers energies faible carbone ou renouvlable</t>
  </si>
  <si>
    <r>
      <rPr>
        <sz val="11"/>
        <color rgb="FFFF0000"/>
        <rFont val="Calibri"/>
        <family val="2"/>
        <scheme val="minor"/>
      </rPr>
      <t>PST 8.3.1.</t>
    </r>
    <r>
      <rPr>
        <sz val="11"/>
        <color theme="1"/>
        <rFont val="Calibri"/>
        <family val="2"/>
        <scheme val="minor"/>
      </rPr>
      <t xml:space="preserve"> Produire du solaire photovoltaïque sur fonds propres et par tiers-investisseur (école Champs des tournesols, Crèche Reine Fabiola, école Clarté,  école du Poelbosch, salle de gym de l'école Jacques Brel)</t>
    </r>
  </si>
  <si>
    <r>
      <t>Recourir à un fournisseur d’électricité d’origine 100% verte pour tous les bâtiments communaux et du CPAS dans le cadre d’un marché conjoint avec les autres communes de la zone de police de Bruxelles-Ouest,</t>
    </r>
    <r>
      <rPr>
        <sz val="11"/>
        <color rgb="FFFF0000"/>
        <rFont val="Calibri"/>
        <family val="2"/>
        <scheme val="minor"/>
      </rPr>
      <t xml:space="preserve"> et  ouvrir la réflexion sur les communautés d'énergie et les coopératives citoyenne</t>
    </r>
  </si>
  <si>
    <t xml:space="preserve">Remplacement des chaudières à gaz par des pompes à chaleurs (hybrides) ou autre solutions innovantes selon un planning à définir.  </t>
  </si>
  <si>
    <t>Planning pour le replacement des chaudières à gaz disponible. (Hypothese actuelle = 5% de pompes à chaleurs en 2030)</t>
  </si>
  <si>
    <t xml:space="preserve">Installation de pompes à chaleurs (hybrides) ou solution innovante dans tous les nouvelles installations ou c'est techniquement possible. </t>
  </si>
  <si>
    <t>% de pompes à chaleurs dans les nouvelles installation ou c'est techiquement possible (hypothese: 10% de nouvelles installations en 2030)</t>
  </si>
  <si>
    <t xml:space="preserve">Achat de biogas ou hydrogène verte (direct ou via le systeme de guaranties d'origine) pour obtenir l'objectif. </t>
  </si>
  <si>
    <t>% d'achat de biogaz nécessaire pour combler l'écart entre l'objectif et les émissions réelles</t>
  </si>
  <si>
    <t>Utilisation rationel des espaces</t>
  </si>
  <si>
    <r>
      <rPr>
        <sz val="11"/>
        <color rgb="FFFF0000"/>
        <rFont val="Calibri"/>
        <family val="2"/>
        <scheme val="minor"/>
      </rPr>
      <t>PST 1.1.2</t>
    </r>
    <r>
      <rPr>
        <sz val="11"/>
        <color theme="1"/>
        <rFont val="Calibri"/>
        <family val="2"/>
        <scheme val="minor"/>
      </rPr>
      <t xml:space="preserve"> Évoluer vers des environnements de travail dynamiques (Dynamic office)</t>
    </r>
  </si>
  <si>
    <t>Réduction de l'espace par rapport à 2019 (Politique de teletravail + en plan d'occupation des batiments)) pour Theodore, Maison Communale et Prévention</t>
  </si>
  <si>
    <t>Lié à la sensibilisation. Si bcp de personnes en télétravail, regrouper … seulement possible quand un plan specifique. Idee: flexdesk: quand moins de personnes, reduire le chauffage sur une étage. Bien communiquer. Les personnes peuvent se mettre ou ils veulent mais une etage moins chauffée.  Sami: A priori, mais parfoiss difficile à mettre en place (vannes inviolables , personnes voulant travailler dans leur propres bureaux, ...)</t>
  </si>
  <si>
    <t>Encourager le zero déchet et diminuer les émissions des déchets non évitables</t>
  </si>
  <si>
    <t>% de réutilisation durant les actions de collecte (Coralie)</t>
  </si>
  <si>
    <t>Accepter, pas imposer ici ;-) L'enseignement NL propose d'élargir cette action aux écoles (classe d'accueil) car de plus en plus d'écoles acceptent que les enfants ne soient pas propres.</t>
  </si>
  <si>
    <t>% crèches autorisant des couches réutilisables</t>
  </si>
  <si>
    <r>
      <rPr>
        <sz val="11"/>
        <color rgb="FFFF0000"/>
        <rFont val="Calibri"/>
        <family val="2"/>
        <scheme val="minor"/>
      </rPr>
      <t>PST 8.5.1.</t>
    </r>
    <r>
      <rPr>
        <sz val="11"/>
        <color theme="1"/>
        <rFont val="Calibri"/>
        <family val="2"/>
        <scheme val="minor"/>
      </rPr>
      <t xml:space="preserve"> Mettre en place une ressourcerie et améliorer le recyclage grâce au nouveau Recypark à Jette </t>
    </r>
  </si>
  <si>
    <t>Quantité de ressourceries mise en place (Hypothese: 5% de déchets "versage sauvage" et "ménager encombrants" reutilisable)</t>
  </si>
  <si>
    <t>Faciliter le recyclage grâce au nouveau Recyparc à Jette</t>
  </si>
  <si>
    <t>Tendre vers un fonctionnement zéro déchet de l’administration, en menant une réflexion sur les déchets produits en établissant une charte : tri, matériel, catering, etc. et en sensibilisant le personnel à la démarche Zéro déchet.</t>
  </si>
  <si>
    <t>Mettre en place un "welcome pack" de développement durable pour les agents entrants</t>
  </si>
  <si>
    <t>Former les équipes de nettoyage au tri des déchets/zéro déchet dans les écoles</t>
  </si>
  <si>
    <t>% des equipes de nettoyage d'écoles formées</t>
  </si>
  <si>
    <t>Mettre en place une ressourcerie</t>
  </si>
  <si>
    <t>Nombre de resourcerie en place</t>
  </si>
  <si>
    <t>Réaliser une campagne de sensibilisation sur l'économie circulaire</t>
  </si>
  <si>
    <t>Finaliser le projet de toiture jardin rue Léon Theodor 108</t>
  </si>
  <si>
    <t xml:space="preserve">% de réaménagement d'école avec une zone nature intégrée </t>
  </si>
  <si>
    <r>
      <rPr>
        <sz val="11"/>
        <color rgb="FFFF0000"/>
        <rFont val="Calibri"/>
        <family val="2"/>
        <scheme val="minor"/>
      </rPr>
      <t>PST 1.6.3</t>
    </r>
    <r>
      <rPr>
        <sz val="11"/>
        <color theme="1"/>
        <rFont val="Calibri"/>
        <family val="2"/>
        <scheme val="minor"/>
      </rPr>
      <t xml:space="preserve"> Végétaliser les bâtiments de l'administration et y favoriser la biodiversité</t>
    </r>
  </si>
  <si>
    <t>Fixer un coefficient de biotope pour les bâtiments (0,7 pour nouveaux bâtiments et augmenter le coefficient des autres bâtiments)</t>
  </si>
  <si>
    <t xml:space="preserve">Coefficient de biotope en place pour les nouveau bâtiments (0,7) et pour les bâtiments existants. </t>
  </si>
  <si>
    <r>
      <rPr>
        <sz val="11"/>
        <color rgb="FFFF0000"/>
        <rFont val="Calibri"/>
        <family val="2"/>
        <scheme val="minor"/>
      </rPr>
      <t>PST 8.4.2.</t>
    </r>
    <r>
      <rPr>
        <sz val="11"/>
        <color theme="1"/>
        <rFont val="Calibri"/>
        <family val="2"/>
        <scheme val="minor"/>
      </rPr>
      <t xml:space="preserve"> Établir le Plan d'action Maillage vert 2022-2025</t>
    </r>
  </si>
  <si>
    <t>Planter systematiquement des arbres dans les rues ou il n'y en a pas encore (independament des travaux de renovations)</t>
  </si>
  <si>
    <t>Planter systématiquement des arbres dans les rues lors de rénovation, lors de demande d’habitants (entre deux garages par exemple) ou par initiative communale</t>
  </si>
  <si>
    <t xml:space="preserve">Sensibiliser le personnel à la biodiversité en rappelant qu'il s'agit d'une des 9 limites planétaires. </t>
  </si>
  <si>
    <t>Organiser des formations potager dans les écoles</t>
  </si>
  <si>
    <t>% d'écoles qui ont recu une formation potager</t>
  </si>
  <si>
    <t>% plantation d'espèces adaptées</t>
  </si>
  <si>
    <t>OS2 Encourager les déplacements bas carbone et réduire les nécessités de déplacements</t>
  </si>
  <si>
    <r>
      <rPr>
        <sz val="11"/>
        <color rgb="FFFF0000"/>
        <rFont val="Calibri"/>
        <family val="2"/>
        <scheme val="minor"/>
      </rPr>
      <t>PST 8.2.1.</t>
    </r>
    <r>
      <rPr>
        <sz val="11"/>
        <color theme="1"/>
        <rFont val="Calibri"/>
        <family val="2"/>
        <scheme val="minor"/>
      </rPr>
      <t xml:space="preserve"> Moderniser le charroi communal (norme Euro 5, achat programmé de véhicules hybrides / électriques,…), favoriser le leasing, et les voitures partagées en vue de répondre à la Low Emission Zone (fin du thermique en 2035 au plus tard</t>
    </r>
  </si>
  <si>
    <t>Recourir à une distribution du courrier neutre en carbone: coursier vélo, label Bpost</t>
  </si>
  <si>
    <t>Installer des parking vélo sécurisés dans toutes les écoles (pour profs et élèves) et les batiments publics (vélos + trotinettes) avec si possible une mutualisation des places disponibles pour les riverains via une gestion externalisée type parking brussels</t>
  </si>
  <si>
    <t>% d'écoles équipé de parking vélo sécurisé</t>
  </si>
  <si>
    <t xml:space="preserve">Réduction de la flotte de véhicules </t>
  </si>
  <si>
    <t xml:space="preserve">Mettre à disposition des vélos électriques pour les enseignants/ Villo electriques pour les enseignants/crèches. </t>
  </si>
  <si>
    <t>Impossible pour domicile travail, possible pour déplacements profesionnels. Enseignement NL: école Poelbos et VDB dispose d'un vélo électrique utilisé pour les déplacements proffessionnels, ainsi que le service enseignement NL. Cette action est relevante et avec une bonne sensibilisation et un fichier excell de déplacements mis à jour pour mesurer l'impact. Action pourrait être élargie aux personnes de garde qui s'occupent de la garderie à plusieurs écoles.</t>
  </si>
  <si>
    <t>% des trajets professionnels par le personnel des écoles et crèches en vélo</t>
  </si>
  <si>
    <t>Stimuler la transition vers un autre mode de transport que la voiture pour les déplacements domicile-travail. (campagne, prime vélo, … )</t>
  </si>
  <si>
    <t xml:space="preserve">maximum % de personnes qui viennent en voiture à combustion interne pour domicile travail </t>
  </si>
  <si>
    <t>% jour/employé fait en télétravail en moyenne (hypothese : 2/5 jours pour 30% des employées)</t>
  </si>
  <si>
    <t>Mettre en place une bonne structure de gouvernance générale permettant une amélioration continue</t>
  </si>
  <si>
    <t>Mener une réflexion sur la labellisation "Entreprise Ecodynamique" de certains bâtiments communaux</t>
  </si>
  <si>
    <t>Sensibilisation et éduquer des acteurs communaux</t>
  </si>
  <si>
    <r>
      <rPr>
        <sz val="11"/>
        <color rgb="FFFF0000"/>
        <rFont val="Calibri"/>
        <family val="2"/>
        <scheme val="minor"/>
      </rPr>
      <t>Plan Synergies A1.1.4</t>
    </r>
    <r>
      <rPr>
        <sz val="11"/>
        <color theme="1"/>
        <rFont val="Calibri"/>
        <family val="2"/>
        <scheme val="minor"/>
      </rPr>
      <t xml:space="preserve">. Définir les outils de communication interne en vue d'améliorer la circulation de l’information et </t>
    </r>
    <r>
      <rPr>
        <sz val="11"/>
        <color rgb="FFFF0000"/>
        <rFont val="Calibri"/>
        <family val="2"/>
        <scheme val="minor"/>
      </rPr>
      <t>PST 1.4.4</t>
    </r>
    <r>
      <rPr>
        <sz val="11"/>
        <color theme="1"/>
        <rFont val="Calibri"/>
        <family val="2"/>
        <scheme val="minor"/>
      </rPr>
      <t>. Mettre en place une communication interne de sorte que toute information pertinente pour un membre du personnel / un responsable hiérarchique lui parvienne sous une forme adéquate</t>
    </r>
  </si>
  <si>
    <t>Communiquer/impliquer le personnel dans les actions citoyennes/événements communaux (à intégrer dans le plan de communication)</t>
  </si>
  <si>
    <t>NL</t>
  </si>
  <si>
    <t>1.1.1</t>
  </si>
  <si>
    <t>oui</t>
  </si>
  <si>
    <t>Rationnaliser espace travail</t>
  </si>
  <si>
    <t>1.1.2</t>
  </si>
  <si>
    <t>1.2.1</t>
  </si>
  <si>
    <t>1.2.2</t>
  </si>
  <si>
    <t>1.2.2.1</t>
  </si>
  <si>
    <t>Remplacement du pavillon de la mare (Aurore) par un nouveau volume passif</t>
  </si>
  <si>
    <t>1.2.2.2</t>
  </si>
  <si>
    <t>Ecole du Poelbos</t>
  </si>
  <si>
    <t>1.2.2.3</t>
  </si>
  <si>
    <t>Ecole des Petits Ballons</t>
  </si>
  <si>
    <t>1.2.2.4</t>
  </si>
  <si>
    <t>Arte Factory (drève de Rivieren)</t>
  </si>
  <si>
    <t>1.2.2.5</t>
  </si>
  <si>
    <t>Nouveaux vestiaires du stade communal</t>
  </si>
  <si>
    <t>1.2.2.6</t>
  </si>
  <si>
    <t>Nouvelle crèche (CQD)</t>
  </si>
  <si>
    <t>1.2.2.7</t>
  </si>
  <si>
    <t>Nouvelle maison de quartier (CQD)</t>
  </si>
  <si>
    <t>1.2.3</t>
  </si>
  <si>
    <t>1.2.3.1</t>
  </si>
  <si>
    <t>demande de subsides pour Ribambelle</t>
  </si>
  <si>
    <t>1.2.3.2</t>
  </si>
  <si>
    <t>Adjudication Ribambelle + Demande de subsides Fabiola + audit Bib + quick scan</t>
  </si>
  <si>
    <t>1.2.3.3</t>
  </si>
  <si>
    <t>Travaux Ribambelle + Etudes et Permis Fabiola + Etude Biblio + Audit annexe MC</t>
  </si>
  <si>
    <t>1.2.4</t>
  </si>
  <si>
    <t>1.2.4.1</t>
  </si>
  <si>
    <t>Isolation de la toiture du pavillon des senteurs à Aurore</t>
  </si>
  <si>
    <t>1.2.4.2</t>
  </si>
  <si>
    <t>Isolation de la toiture de la crèche Pouf et Caroline</t>
  </si>
  <si>
    <t>1.2.4.3</t>
  </si>
  <si>
    <t>Isolation de la toiture de l'école Aurore</t>
  </si>
  <si>
    <t>1.2.4.4</t>
  </si>
  <si>
    <t>Isolation de la toiture de l'Abbaye de Dieleghem</t>
  </si>
  <si>
    <t>1.2.4.5</t>
  </si>
  <si>
    <t>Isolation de la toiture du bâtiment principal de Van Helmont + exploitation de la toiture??</t>
  </si>
  <si>
    <t>1.2.4.6</t>
  </si>
  <si>
    <t>Isolation du Gymnase de Brel</t>
  </si>
  <si>
    <t>1.2.4.7</t>
  </si>
  <si>
    <t>Isolation des autres bâtiments de Brel en fonction du Masterplan</t>
  </si>
  <si>
    <t>1.2.4.8</t>
  </si>
  <si>
    <t>1.2.5</t>
  </si>
  <si>
    <t>1.2.5.1</t>
  </si>
  <si>
    <t>Modifier la production d'eau chaude sanitaire par un boiler thermodynamique + photovoltaique</t>
  </si>
  <si>
    <t>1.2.6</t>
  </si>
  <si>
    <t>1.2.6.1</t>
  </si>
  <si>
    <t>CTC</t>
  </si>
  <si>
    <t>1.2.6.2</t>
  </si>
  <si>
    <t>Logements Jules Lahaye 178</t>
  </si>
  <si>
    <t>1.2.7</t>
  </si>
  <si>
    <t>Ampoules LED</t>
  </si>
  <si>
    <t>1.3.1</t>
  </si>
  <si>
    <t>Energie solaire</t>
  </si>
  <si>
    <t>1.3.1.1</t>
  </si>
  <si>
    <t>Champ des Tournesols (quid stabilité)</t>
  </si>
  <si>
    <t>1.3.1.2</t>
  </si>
  <si>
    <t>Bâtiment principal Aurore (après Isolation)</t>
  </si>
  <si>
    <t>1.3.1.3</t>
  </si>
  <si>
    <t>Salle de Gym de Brel (après Isolation)</t>
  </si>
  <si>
    <t>1.3.1.4</t>
  </si>
  <si>
    <t>Vestiaires Heymbosch</t>
  </si>
  <si>
    <t>1.3.2</t>
  </si>
  <si>
    <t>1.3.3</t>
  </si>
  <si>
    <t>1.3.3.1</t>
  </si>
  <si>
    <t>Crèche Reine Fabiola</t>
  </si>
  <si>
    <t>1.3.4</t>
  </si>
  <si>
    <t>1.3.4.1</t>
  </si>
  <si>
    <t>1.3.4.2</t>
  </si>
  <si>
    <t>Ecole de l'Arbre Ballon</t>
  </si>
  <si>
    <t>1.3.5</t>
  </si>
  <si>
    <t>Achat Biogaz</t>
  </si>
  <si>
    <t>1.4.1</t>
  </si>
  <si>
    <t>1.5.1</t>
  </si>
  <si>
    <t>1.5.2</t>
  </si>
  <si>
    <t>Monitoring réelle NR-Click</t>
  </si>
  <si>
    <t>1.5.2.1</t>
  </si>
  <si>
    <t xml:space="preserve">On poursuit la mise en place à concurrence de 3 sites par an </t>
  </si>
  <si>
    <t>1.5.3</t>
  </si>
  <si>
    <t>1.5.3.1</t>
  </si>
  <si>
    <t>Procéder à un entretient régulier des gaines, grilles et groupes de ventilation - marché en 2024 (groupes tous les 6 mois, grilles tous les ans (ajouter au cahier des charges châssis),  et gaines tous les 10 ans)</t>
  </si>
  <si>
    <t>1.6.1</t>
  </si>
  <si>
    <t>1.6.2</t>
  </si>
  <si>
    <t>1.6.3</t>
  </si>
  <si>
    <t>1.7.1</t>
  </si>
  <si>
    <r>
      <t xml:space="preserve">Insérer dans les marchés </t>
    </r>
    <r>
      <rPr>
        <sz val="11"/>
        <rFont val="Calibri"/>
        <family val="2"/>
        <scheme val="minor"/>
      </rPr>
      <t>d'études</t>
    </r>
    <r>
      <rPr>
        <sz val="11"/>
        <color theme="1"/>
        <rFont val="Calibri"/>
        <family val="2"/>
        <scheme val="minor"/>
      </rPr>
      <t xml:space="preserve"> une obligation d'évaluer l'impact carbone des différents scénarios proposés</t>
    </r>
  </si>
  <si>
    <t>1.7.2</t>
  </si>
  <si>
    <t>1.7.3</t>
  </si>
  <si>
    <t>1.7.4</t>
  </si>
  <si>
    <t>vide</t>
  </si>
  <si>
    <t>2.1.1</t>
  </si>
  <si>
    <t>2.1.2</t>
  </si>
  <si>
    <t>2.1.3</t>
  </si>
  <si>
    <t>2.2.1</t>
  </si>
  <si>
    <t>2.2.2</t>
  </si>
  <si>
    <t>non</t>
  </si>
  <si>
    <t>2.2.3</t>
  </si>
  <si>
    <t>2.2.4</t>
  </si>
  <si>
    <t>2.2.5</t>
  </si>
  <si>
    <t>2.2.6</t>
  </si>
  <si>
    <t>2.3.1</t>
  </si>
  <si>
    <t>2.3.2</t>
  </si>
  <si>
    <t>2.3.3</t>
  </si>
  <si>
    <t>2.3.4</t>
  </si>
  <si>
    <t>2.3.4.1</t>
  </si>
  <si>
    <t>Péréniser les rangs scolaires existants</t>
  </si>
  <si>
    <t>2.3.4.2</t>
  </si>
  <si>
    <t>Augmenter les rues scolaires</t>
  </si>
  <si>
    <t>2.3.4.3</t>
  </si>
  <si>
    <t>Augmenter les plans de déplacements scolaires</t>
  </si>
  <si>
    <t>2.3.5</t>
  </si>
  <si>
    <t>2.3.6</t>
  </si>
  <si>
    <t>2.3.7</t>
  </si>
  <si>
    <t>2.3.8</t>
  </si>
  <si>
    <t>3.1.1</t>
  </si>
  <si>
    <t>3.1.2</t>
  </si>
  <si>
    <t>3.1.3</t>
  </si>
  <si>
    <t>3.2.1</t>
  </si>
  <si>
    <t>3.2.2</t>
  </si>
  <si>
    <t>3.2.3</t>
  </si>
  <si>
    <t>3.2.4</t>
  </si>
  <si>
    <t>3.2.5</t>
  </si>
  <si>
    <t>3.3.1</t>
  </si>
  <si>
    <t>3.3.2</t>
  </si>
  <si>
    <t>3.4.1</t>
  </si>
  <si>
    <t>3.4.2</t>
  </si>
  <si>
    <t>3.5.1</t>
  </si>
  <si>
    <t>4.1.1</t>
  </si>
  <si>
    <t>4.1.2</t>
  </si>
  <si>
    <t>4.1.3</t>
  </si>
  <si>
    <t>4.1.4</t>
  </si>
  <si>
    <t>4.1.5</t>
  </si>
  <si>
    <t>4.2.1</t>
  </si>
  <si>
    <t>4.3.1</t>
  </si>
  <si>
    <t>4.3.2</t>
  </si>
  <si>
    <t>4.3.3</t>
  </si>
  <si>
    <t>4.4.1</t>
  </si>
  <si>
    <t>4.5.1</t>
  </si>
  <si>
    <t>5.1.1</t>
  </si>
  <si>
    <t>5.2.1</t>
  </si>
  <si>
    <t>5.2.2</t>
  </si>
  <si>
    <t>5.2.3</t>
  </si>
  <si>
    <t>5.2.4</t>
  </si>
  <si>
    <t>5.2.5</t>
  </si>
  <si>
    <t>5.2.6</t>
  </si>
  <si>
    <t>5.2.7</t>
  </si>
  <si>
    <t>5.2.8</t>
  </si>
  <si>
    <t>5.2.9</t>
  </si>
  <si>
    <t>5.2.10</t>
  </si>
  <si>
    <t>5.3.1</t>
  </si>
  <si>
    <t>5.4.1</t>
  </si>
  <si>
    <t>5.4.2</t>
  </si>
  <si>
    <t>5.4.3</t>
  </si>
  <si>
    <t>VEA</t>
  </si>
  <si>
    <t>5.4.4</t>
  </si>
  <si>
    <t>5.4.5</t>
  </si>
  <si>
    <t>5.4.6</t>
  </si>
  <si>
    <t>5.4.7</t>
  </si>
  <si>
    <t>5.4.8</t>
  </si>
  <si>
    <t>5.4.9</t>
  </si>
  <si>
    <t>6.1.1</t>
  </si>
  <si>
    <t>6.1.2</t>
  </si>
  <si>
    <t>6.1.3</t>
  </si>
  <si>
    <t>6.2.1</t>
  </si>
  <si>
    <t>6.3.1</t>
  </si>
  <si>
    <t>6.3.2</t>
  </si>
  <si>
    <t>6.4.1</t>
  </si>
  <si>
    <t>6.5.1</t>
  </si>
  <si>
    <t>6.5.2</t>
  </si>
  <si>
    <t>7.1.1</t>
  </si>
  <si>
    <t>7.1.2</t>
  </si>
  <si>
    <t>7.1.2.1</t>
  </si>
  <si>
    <t>Verdurisation de la cour Clarté</t>
  </si>
  <si>
    <t>7.1.2.2</t>
  </si>
  <si>
    <t>Verdurisation de la cour Tournesol</t>
  </si>
  <si>
    <t>7.1.3</t>
  </si>
  <si>
    <t>7.1.3.1</t>
  </si>
  <si>
    <t>Végatalisation de la façade de l'annexe de la MC - après islation</t>
  </si>
  <si>
    <t>7.1.4</t>
  </si>
  <si>
    <t>7.1.5</t>
  </si>
  <si>
    <t>7.1.6</t>
  </si>
  <si>
    <t>7.1.7</t>
  </si>
  <si>
    <t>7.2.1</t>
  </si>
  <si>
    <t>7.2.2</t>
  </si>
  <si>
    <t>7.2.3</t>
  </si>
  <si>
    <t>7.3.1</t>
  </si>
  <si>
    <t>7.4.1</t>
  </si>
  <si>
    <t>OP 8.1</t>
  </si>
  <si>
    <t>8.1.1</t>
  </si>
  <si>
    <t>8.1.2</t>
  </si>
  <si>
    <t>OP 8.2</t>
  </si>
  <si>
    <t>8.2.1</t>
  </si>
  <si>
    <t>8.2.2</t>
  </si>
  <si>
    <t>8.2.3</t>
  </si>
  <si>
    <t>PST 1.6.1. Sensibiliser le personnel à la dépollution numérique</t>
  </si>
  <si>
    <t>8.2.4</t>
  </si>
  <si>
    <t>8.2.5</t>
  </si>
  <si>
    <t>8.3.1</t>
  </si>
  <si>
    <t>8.3.2</t>
  </si>
  <si>
    <t>8.3.3</t>
  </si>
  <si>
    <t>8.3.4</t>
  </si>
  <si>
    <t xml:space="preserve">Individuelles </t>
  </si>
  <si>
    <t>Collectives</t>
  </si>
  <si>
    <t>Remaining</t>
  </si>
  <si>
    <t>Emissions énergie bâtiments 2019</t>
  </si>
  <si>
    <t>Diminution chauffages</t>
  </si>
  <si>
    <t>Rénovations (RénoClick, toitures) + PLAGE</t>
  </si>
  <si>
    <t>Batiments BNE</t>
  </si>
  <si>
    <t>100% elec verte</t>
  </si>
  <si>
    <t xml:space="preserve">Pompes à chaleur (hybrides) </t>
  </si>
  <si>
    <t>Formations et sensibilistation</t>
  </si>
  <si>
    <t>Emissions énergie bâtiments 2030</t>
  </si>
  <si>
    <t>Emissions mobilité 2019</t>
  </si>
  <si>
    <t>Messures EU, BE, BXL générales</t>
  </si>
  <si>
    <t>Emissions mobilité 2030</t>
  </si>
  <si>
    <t xml:space="preserve"> </t>
  </si>
  <si>
    <t>Alimentation 2019</t>
  </si>
  <si>
    <t>Alimentation 2030</t>
  </si>
  <si>
    <t>Achats 2019</t>
  </si>
  <si>
    <t>Achat 2030</t>
  </si>
  <si>
    <t>Emissions déchets 2019</t>
  </si>
  <si>
    <t>Emissions déchets 2030</t>
  </si>
  <si>
    <t>Objectif</t>
  </si>
  <si>
    <t>Operationel</t>
  </si>
  <si>
    <t>(tCO2e)</t>
  </si>
  <si>
    <t>(% mob)</t>
  </si>
  <si>
    <t>(% tot)</t>
  </si>
  <si>
    <t>Fit for 55 implication/BXL</t>
  </si>
  <si>
    <t>Réduction des émissions des voitures privés</t>
  </si>
  <si>
    <t>Total</t>
  </si>
  <si>
    <t>Source_d_emission_niv2</t>
  </si>
  <si>
    <t>Objectif_Strategique</t>
  </si>
  <si>
    <t xml:space="preserve">Objectif_operationel </t>
  </si>
  <si>
    <t>4.Te.1</t>
  </si>
  <si>
    <t>Energie_&amp;_elec</t>
  </si>
  <si>
    <t>Tous</t>
  </si>
  <si>
    <t>Groupe citoyen/coopérative sur énergie renouvelable</t>
  </si>
  <si>
    <t>4.F.2</t>
  </si>
  <si>
    <t>Nombre de groupe/initiative</t>
  </si>
  <si>
    <t>4.Te.2</t>
  </si>
  <si>
    <t>Prêter des appareils aux citoyens : détecteurs de fuites etc.</t>
  </si>
  <si>
    <t>4.Te.3</t>
  </si>
  <si>
    <t>Projet pour la géothermie en collaboration avec la région</t>
  </si>
  <si>
    <t xml:space="preserve">% de m2 à chauffer couvert </t>
  </si>
  <si>
    <t>4.Te.4</t>
  </si>
  <si>
    <t>Avoir un conseiller en rénovation communal pour les citoyens</t>
  </si>
  <si>
    <t>4.F.4</t>
  </si>
  <si>
    <t>4.Te.5</t>
  </si>
  <si>
    <t>Promotion des Cogen</t>
  </si>
  <si>
    <t>4.F.3</t>
  </si>
  <si>
    <t>Nombre de nouvelles cogen</t>
  </si>
  <si>
    <t>DDE, conseiller énergie</t>
  </si>
  <si>
    <t>4.Te.6</t>
  </si>
  <si>
    <t>Utilisation des réseaux de chaleur</t>
  </si>
  <si>
    <t>% de m2 à chauffer couvert</t>
  </si>
  <si>
    <t>4.Te.7</t>
  </si>
  <si>
    <t>Végétalisation des quartiers sujets à surchauffe</t>
  </si>
  <si>
    <t>via comités de quartier et les appels à projets</t>
  </si>
  <si>
    <t>Plantations, EP</t>
  </si>
  <si>
    <t>4.Te.8</t>
  </si>
  <si>
    <t>Sensibiliser les jettois aux rénovations et aux énergies renouvelables via plusieurs de comunication: Jette Info, réseaux, médias</t>
  </si>
  <si>
    <t>% d'habitants sensibilisées</t>
  </si>
  <si>
    <t>4.Te.9</t>
  </si>
  <si>
    <t>Proposer une prime pour citoyen pour perméabiliser les abords et lutter les inondations et la surchauffe</t>
  </si>
  <si>
    <t>DDE, EP</t>
  </si>
  <si>
    <t>4.Te.10</t>
  </si>
  <si>
    <t>Sensibilisatier aux économies d'énergie et d'eau (enquêtes, feedbacks, brochures)</t>
  </si>
  <si>
    <t>4.Te.11</t>
  </si>
  <si>
    <t>Smart house system pour suivre la conso d'énergie</t>
  </si>
  <si>
    <t>pas le rôle de la commune</t>
  </si>
  <si>
    <t>4.Te.12</t>
  </si>
  <si>
    <t>Promouvoir les appareils consommant peu d'énergie</t>
  </si>
  <si>
    <t>communication sur les labels énergétiques</t>
  </si>
  <si>
    <t>4.Te.13</t>
  </si>
  <si>
    <t>Promouvoir des ystème d'éclairage moderne et économique</t>
  </si>
  <si>
    <t>4.Te.14</t>
  </si>
  <si>
    <t>Sensibiliser au remplacement des chaudières à mazout par des chaudières au gaz, pompes à chaleur et énergies renouvelables</t>
  </si>
  <si>
    <t>4.O.7 ; 4.F.2 ; 4.F.3</t>
  </si>
  <si>
    <t>4.Te.15</t>
  </si>
  <si>
    <t>Remplacer chauffage individuel (charbon, mazout) par le surplus de chaleur de la région (incinérateur, power plant, industries)</t>
  </si>
  <si>
    <t>hors scoop</t>
  </si>
  <si>
    <t>4.Te.16</t>
  </si>
  <si>
    <t>Remplacer anciens fours par des nouveaux éco-friendly</t>
  </si>
  <si>
    <t>4.Te.19</t>
  </si>
  <si>
    <t>Organiser un achat groupé d'énergie verte</t>
  </si>
  <si>
    <t>Via Wikkipower (consuler les communes qui ont déjà ollaboré avec eux)</t>
  </si>
  <si>
    <t>% d'habitants participant aux achats groupés</t>
  </si>
  <si>
    <t>4.Te.20</t>
  </si>
  <si>
    <t>Rénovation collective de quartiers vers des normes énergétiques basses</t>
  </si>
  <si>
    <t>4.Te.23</t>
  </si>
  <si>
    <t>Compteurs d’énergie intelligents dans l’industrie de l’alimentation, des boissons et du tabac</t>
  </si>
  <si>
    <t>4.Te.24</t>
  </si>
  <si>
    <t>Proposer des prêts de rénovation</t>
  </si>
  <si>
    <t>via la région (prêts verts)</t>
  </si>
  <si>
    <t>4.A.8</t>
  </si>
  <si>
    <t>4.Te.25</t>
  </si>
  <si>
    <t>Sensibiliser à la formation de coopératives énergétiques et communautés d'énergie renouvelable</t>
  </si>
  <si>
    <t>4.Te.26</t>
  </si>
  <si>
    <t>Sensibiliser au service de facilitateur logements collectifs de Bruxelles Environnement</t>
  </si>
  <si>
    <t>Il existe le facilitateur régional pour les logements collectif</t>
  </si>
  <si>
    <t>4.Te.27</t>
  </si>
  <si>
    <t>Sensibiliser aux rénovations durables par tiers investisseurs</t>
  </si>
  <si>
    <t>hors scoop (plutôt pour homegrade)</t>
  </si>
  <si>
    <t>4.Te.28</t>
  </si>
  <si>
    <t>Explorer si l'utilisation de biogaz issu de la fermentation de  déchets organiques collectés sélectivement peut être injecté dans le réseau de gaz naturel</t>
  </si>
  <si>
    <t>4.Te.29</t>
  </si>
  <si>
    <t>Coaching énergétique pour les entreprises et organisations</t>
  </si>
  <si>
    <t>4.Te.30</t>
  </si>
  <si>
    <t>Quartiers pilotes pour le passage à une vie sans gaz</t>
  </si>
  <si>
    <t>hors scoop (projet pilote à faire région)</t>
  </si>
  <si>
    <t>4.Te.31</t>
  </si>
  <si>
    <t>Etendre système de télémétrie</t>
  </si>
  <si>
    <t>4.Te.32</t>
  </si>
  <si>
    <t>Développement d'un guichet unique (maison énergétique)</t>
  </si>
  <si>
    <t>ça existe déjà (homegrade)</t>
  </si>
  <si>
    <t>4.Te.33</t>
  </si>
  <si>
    <t>Travailler à changer la législation vers un niveau supérieur d'efficacité énergétique</t>
  </si>
  <si>
    <t>4.Te.34</t>
  </si>
  <si>
    <t>Production locale d'hydrogène</t>
  </si>
  <si>
    <t>hros scoop</t>
  </si>
  <si>
    <t>4.Te.35</t>
  </si>
  <si>
    <t>Convertir en biomasse la production combinée de chaleur et d'électricité</t>
  </si>
  <si>
    <t>4.Te.37</t>
  </si>
  <si>
    <t>Inciter les habitants à utiliser le co-ownership (voiture, compagnie d'éléctricite, bureaux et maisons)</t>
  </si>
  <si>
    <t>4.Te.38</t>
  </si>
  <si>
    <t>Développer une filière professionnelle pour la rénovation énergétique</t>
  </si>
  <si>
    <t>Remplacer progressivement les lumières extérieures par des LED et adapter l’intensité de l’éclairage nocturne quand c’est possible (lieux moins fréquentés), mais sans créer d’insécurité</t>
  </si>
  <si>
    <t>Via Sibelga</t>
  </si>
  <si>
    <t>% d'ampoules LED</t>
  </si>
  <si>
    <t xml:space="preserve">Sibelga  </t>
  </si>
  <si>
    <t>EP (A.U.)</t>
  </si>
  <si>
    <t>Encourager les Jettois.es à opter pour un fournisseur d’électricité 100% renouvelable en organisant par exemple un achat groupé pour Jette</t>
  </si>
  <si>
    <t>Conseiller énergie, DDE, Wikkipower</t>
  </si>
  <si>
    <t>comm</t>
  </si>
  <si>
    <r>
      <t xml:space="preserve">Organiser, en concertation avec les associations de (soutien aux) commerçants, des actions de sensibilisation de nos commerçants à la réduction de leur consommation d‘énergie </t>
    </r>
    <r>
      <rPr>
        <sz val="10"/>
        <color theme="1"/>
        <rFont val="Calibri"/>
        <family val="2"/>
        <scheme val="minor"/>
      </rPr>
      <t>(par ex. en leur proposant l’expertise d’experts (quick scans énergétiques gratuits)</t>
    </r>
  </si>
  <si>
    <t>% de commerces sensibilisés</t>
  </si>
  <si>
    <t>DDE, VEA</t>
  </si>
  <si>
    <t>Encourager les Jettois.es à réaliser des économies d’énergie et en particulier à isoler les habitations (via des canaux de communication et des primes ciblées)</t>
  </si>
  <si>
    <t>soit comm soit incitant type prime</t>
  </si>
  <si>
    <t>Bruxelles Environnement Homegrade</t>
  </si>
  <si>
    <t>Apporter une aide aux ménages en informant sur les possibilités de primes et les possibilités d’amélioration de l’efficacité énergétique des logements, en partenariat avec la Région de Bruxelles-Capitale et le secteur associatif.</t>
  </si>
  <si>
    <t>fait via DDE et homegrade</t>
  </si>
  <si>
    <t>via shop 1090, commerce et marché</t>
  </si>
  <si>
    <t>1.Te.1</t>
  </si>
  <si>
    <t>Espaces verts/biodiversité</t>
  </si>
  <si>
    <t>Organiser la fête des arbres/plantes (plantez un arbre + fête de l'environnement)</t>
  </si>
  <si>
    <t>1.Te.3</t>
  </si>
  <si>
    <t>Bacs aromatiques et arbres fruitiers en libre service</t>
  </si>
  <si>
    <t>parc de la jeunesse</t>
  </si>
  <si>
    <t>1.Te.5</t>
  </si>
  <si>
    <t>Remplacer l'asphalte par des végétations (perméabiliser)</t>
  </si>
  <si>
    <t>lors des réaménagements ; réfléchir aux espèces pour limiter l'entretien</t>
  </si>
  <si>
    <t>Plantationq</t>
  </si>
  <si>
    <t>1.Te.7</t>
  </si>
  <si>
    <t>Répertorier et créer des ilots de fraicheur</t>
  </si>
  <si>
    <t>voir la carte des ilots de chaleur</t>
  </si>
  <si>
    <t>1.Te.8</t>
  </si>
  <si>
    <t>Dans les projets de quartier, favoriser des actions intergénérationnelles: seniors arrosent &amp; jeunes labourent</t>
  </si>
  <si>
    <t>1.Te.9</t>
  </si>
  <si>
    <t xml:space="preserve">Mettre en avant du label Réseau Nature de Natagora </t>
  </si>
  <si>
    <t>1.Te.10</t>
  </si>
  <si>
    <t>Plus de communication/infos/cartes sur les sites de compostage/portagers</t>
  </si>
  <si>
    <t>1.Te.11</t>
  </si>
  <si>
    <t>Remise des cours d'eau à l'air libre</t>
  </si>
  <si>
    <t>Bruxelles environnement</t>
  </si>
  <si>
    <t>Bruxelles Envrionnement</t>
  </si>
  <si>
    <t>1.Te.12</t>
  </si>
  <si>
    <t>Jonctions entre les espaces verts pour faciliter déplacement de la faune et flore</t>
  </si>
  <si>
    <t>1.Te.13</t>
  </si>
  <si>
    <t>Réaliser le plan d'action du maillage vert et bleu</t>
  </si>
  <si>
    <t>1.Te.14</t>
  </si>
  <si>
    <t>Bilan sur la biodiversité du territoire: risques et améliorations</t>
  </si>
  <si>
    <t>il faut voir l'utilité</t>
  </si>
  <si>
    <t>Plantations, DDE</t>
  </si>
  <si>
    <t>1.Te.15</t>
  </si>
  <si>
    <t>Cours de biodiversité et nature à l'école</t>
  </si>
  <si>
    <t>sensibiliser via l'enseignement (en lien avec potager,…)</t>
  </si>
  <si>
    <t>1.Te.16</t>
  </si>
  <si>
    <t>Créer une (ou plusieurs) Mini fôret urbaine Miyawaki</t>
  </si>
  <si>
    <t>Ongena en cours</t>
  </si>
  <si>
    <t>1.Te.17</t>
  </si>
  <si>
    <t>Bassins d'orages et noues (en cours)</t>
  </si>
  <si>
    <t>1.Te.18</t>
  </si>
  <si>
    <t>intégrer un coeffcient de biodiversité pour les permis d'urbanisme d'environnement</t>
  </si>
  <si>
    <t>1.Te.19</t>
  </si>
  <si>
    <t>Sensibiliser à l'utilisation de récupérateurs d'eau de pluie (arrosage, toilettes…)</t>
  </si>
  <si>
    <t>via la prime</t>
  </si>
  <si>
    <t>1.Te.20</t>
  </si>
  <si>
    <t>Sensibiliser au maintien des espèces indigènes (tenir compte de l'impact climatique)</t>
  </si>
  <si>
    <t>quelles especes sont encore à considérer comme indigènes</t>
  </si>
  <si>
    <t>1.Te.21</t>
  </si>
  <si>
    <t>Donner accès aux cours de récréations verdurisées pour les habitants</t>
  </si>
  <si>
    <t>1.Te.22</t>
  </si>
  <si>
    <t>Facilier la gestion d'espaces verts en rue par les habitants (ex: planter fleurs)</t>
  </si>
  <si>
    <t>1.Te.23</t>
  </si>
  <si>
    <t>Placer des hotels à insectes/nichoirs</t>
  </si>
  <si>
    <t>pour les écoles, les quartiers</t>
  </si>
  <si>
    <t>1.Te.25</t>
  </si>
  <si>
    <t>Interdire et contrôler l'abbatage illégal d'arbres</t>
  </si>
  <si>
    <t>1.A.2</t>
  </si>
  <si>
    <t>GT</t>
  </si>
  <si>
    <t>1.Te.26</t>
  </si>
  <si>
    <t>Projets environementaux et durables: "Marlet" , "Place mirror"</t>
  </si>
  <si>
    <t>????</t>
  </si>
  <si>
    <t>1.Te.27</t>
  </si>
  <si>
    <t>Encourager population à planter des arbres</t>
  </si>
  <si>
    <t>Via plantez un arbre</t>
  </si>
  <si>
    <t>1.O.1</t>
  </si>
  <si>
    <t>Défendre l’extension du bois du Laerbeek dans le cadre du réaménagement du Ring (recouvrement)</t>
  </si>
  <si>
    <t>Collège</t>
  </si>
  <si>
    <t>EP (mobilité) DDE</t>
  </si>
  <si>
    <t xml:space="preserve">Un arbre pour un bébé né à Jette : soit parrainer un arbre pour chaque naissance (arbre 2022,...) ou financer pour chaque bébé la plantation d’un arbre dans les pays du sud, pour atténuer les effets de nos émissions de CO2, en collaboration avec une ONG, arbre </t>
  </si>
  <si>
    <t>Pantations ou AFN</t>
  </si>
  <si>
    <t>Encourager la végétalisation des terrasses et toitures des particuliers</t>
  </si>
  <si>
    <t>via prime, via permis d'urbanisme, via seulement de la comm?</t>
  </si>
  <si>
    <t>Faciliter la mise en place de projets de végétalisation sur l’espace public (bacs potager, plantes façade, pieds d’arbre fleuris)</t>
  </si>
  <si>
    <t xml:space="preserve">Poursuivre l’opération annuelle « Plantez un arbre » </t>
  </si>
  <si>
    <t>Soutien communal à l’agriculture urbaine via la mise à disposition de potagers collectifs</t>
  </si>
  <si>
    <t>Mettre en place/augmenter l'action "adopte un pied d'arbre"</t>
  </si>
  <si>
    <t>accepter les herbes folles dans l'espace public</t>
  </si>
  <si>
    <t>sensibilisation !</t>
  </si>
  <si>
    <t>Planations</t>
  </si>
  <si>
    <t>Mettre en place une action de façades fleuries par quartier/rue</t>
  </si>
  <si>
    <t>Faire une action de nettoyage des parcs (clean up day espace vert)</t>
  </si>
  <si>
    <t>Séances de formation pour citoyens (biodiversité, permaculture…)</t>
  </si>
  <si>
    <t>via grainothèque, plantothèque</t>
  </si>
  <si>
    <t>2.Te.2</t>
  </si>
  <si>
    <t>Sensibilisation/gouvernance</t>
  </si>
  <si>
    <t>Promouvoir actions existantes</t>
  </si>
  <si>
    <t>trouver la bonne forme sera difficile</t>
  </si>
  <si>
    <t>2.Te.3</t>
  </si>
  <si>
    <t>Proposer des actions simples et accessibles pour un public moins averti</t>
  </si>
  <si>
    <t>2.Te.4</t>
  </si>
  <si>
    <t>Etat des lieux des initiatives citoyennes</t>
  </si>
  <si>
    <t>2.Te.5</t>
  </si>
  <si>
    <t>Réfléchir à la pertinance des budgets participatifs</t>
  </si>
  <si>
    <t>2.Te.6</t>
  </si>
  <si>
    <t>Prévoir des outils pour améliorer la participation citoyenne sur les projets communaux</t>
  </si>
  <si>
    <t>via la platoforme online ?</t>
  </si>
  <si>
    <t>2.Te.7</t>
  </si>
  <si>
    <t>Augemter les sensibilisation sur le terrain (mégots, crottes de chiens...)</t>
  </si>
  <si>
    <t>2.Te.9</t>
  </si>
  <si>
    <t>Utiliser des nouveaux canneaux de communications (tiktok, snapchat, twitch etc.)</t>
  </si>
  <si>
    <t>ecrans</t>
  </si>
  <si>
    <t>2.Te.10</t>
  </si>
  <si>
    <t>Impliquer influenceurs/personnalités jettoise sans rémunération monétaire-&gt;trouver rémunération alternative</t>
  </si>
  <si>
    <t>2.Te.12</t>
  </si>
  <si>
    <t>Sensibiliser et acompagner les personnes précarisées dans la transition durable</t>
  </si>
  <si>
    <t>avec le cpas, associations…</t>
  </si>
  <si>
    <t>DDE, CPAS</t>
  </si>
  <si>
    <t>2.Te.13</t>
  </si>
  <si>
    <t>Sensibiliser aux autres limites planétaires que le climat</t>
  </si>
  <si>
    <t>2.Te.14</t>
  </si>
  <si>
    <t>Mettre en contact des différents acteurs citoyens</t>
  </si>
  <si>
    <t>Plateforme mieux vivre ensemble, coordination sociale</t>
  </si>
  <si>
    <t>9.Te.4</t>
  </si>
  <si>
    <t>Communiquer sur les progrès d'avancement de la réalisation du Plan Climat avec les citoyens et communes voisines</t>
  </si>
  <si>
    <t>DDE, Comm</t>
  </si>
  <si>
    <t>9.Te.5</t>
  </si>
  <si>
    <t>Mettre en place une page web informative sur le plan climat de Jette</t>
  </si>
  <si>
    <t>Mener des actions pour encourager les citoyens à réduire leur bilan carbone (intégration du bilan carbone individuel dans le No Impact Jette, séance d’information…)</t>
  </si>
  <si>
    <t>Organiser annuellement une conférence / atelier(s) d’information et de sensibilisation autour des bonnes pratiques à adopter face aux enjeux climatiques</t>
  </si>
  <si>
    <t>Proposer un budget participatif afin de financer des projets de végétalisation de territoire d’initiatives citoyenne, pour soutenir les projets non retenus par l’appel à projets régional « Inspirons le quartier »</t>
  </si>
  <si>
    <t xml:space="preserve">Assurer la participation, la communication et la sensibilisation autour du plan Climat </t>
  </si>
  <si>
    <t>Comité d’accompagnement</t>
  </si>
  <si>
    <t>Processus participatif mis en place pour les plans d'actions</t>
  </si>
  <si>
    <t>3.Te.1</t>
  </si>
  <si>
    <t xml:space="preserve">Sensibiliser aux effets et dangers changement climatique </t>
  </si>
  <si>
    <t>3.Te.3</t>
  </si>
  <si>
    <t>Augmenter les zones ombragées dans l'espace public</t>
  </si>
  <si>
    <t>3.Te.4</t>
  </si>
  <si>
    <t>Augmenter les zones en pleine terre dans l'espace public</t>
  </si>
  <si>
    <t>3.Te.5</t>
  </si>
  <si>
    <t>Sensibiliser les citoyens à réduire les surfaces bitumées et augmenter les zones d'herbe: moins de risques d'innondations</t>
  </si>
  <si>
    <t>3.Te.6</t>
  </si>
  <si>
    <t>Désimperméabiliser les espaces (parking, placette …)</t>
  </si>
  <si>
    <t>3.Te.7</t>
  </si>
  <si>
    <t>Guider les copropriétés/particuliers dans leur démarche</t>
  </si>
  <si>
    <t>via homegrade et le facilitateur de BE</t>
  </si>
  <si>
    <t>3.Te.8</t>
  </si>
  <si>
    <t>Interdir l'abattage des arbres sains pour construire</t>
  </si>
  <si>
    <t>3.Te.9</t>
  </si>
  <si>
    <t>Installer des fontaines à eau dans l'espace public</t>
  </si>
  <si>
    <t>3.Te.10</t>
  </si>
  <si>
    <t>Diffuser 1 carte des espaces et bât. frais pdt mes canicule</t>
  </si>
  <si>
    <t>3.Te.11</t>
  </si>
  <si>
    <t>Contrôler les constructions chez les privés (dévégétalisation)</t>
  </si>
  <si>
    <t>3.Te.12</t>
  </si>
  <si>
    <t>Définir 1 liste de plantes non-adaptés aux changement climatique et 1 liste d'alternatives</t>
  </si>
  <si>
    <t>Travail à effectuer par des scientifiques et BE</t>
  </si>
  <si>
    <t>3.Te.13</t>
  </si>
  <si>
    <t>Imposer l'installation de citernes d'eau pluviale</t>
  </si>
  <si>
    <t>3.Te.14</t>
  </si>
  <si>
    <t xml:space="preserve">Octroyer une prime de désimperméabilisation aux citoyen (végétalisation, déminéralisation…) </t>
  </si>
  <si>
    <t>3.Te.15</t>
  </si>
  <si>
    <t>Proposer des achats groupés</t>
  </si>
  <si>
    <t>??? Pour quels produits</t>
  </si>
  <si>
    <t>3.Te.16</t>
  </si>
  <si>
    <t xml:space="preserve">Guider les citoyens sur les primes énergies/rénovation existantes </t>
  </si>
  <si>
    <t>fait par DDE</t>
  </si>
  <si>
    <t>4.A.7</t>
  </si>
  <si>
    <t>3.Te.17</t>
  </si>
  <si>
    <t>Proposer aux citoyens de visiter des bât. &amp; chantiers communaux responsables</t>
  </si>
  <si>
    <t>si chantier assez pertinent comme la chaufferie des plantations</t>
  </si>
  <si>
    <t>3.Te.18</t>
  </si>
  <si>
    <t>Renforcer l'entraide citoyenne</t>
  </si>
  <si>
    <t>? Sur quel domaine</t>
  </si>
  <si>
    <t>3.Te.20</t>
  </si>
  <si>
    <t>Diffuser la carte solaire régionale</t>
  </si>
  <si>
    <t>3.Te.22</t>
  </si>
  <si>
    <t>Fournir chaleur collective pour les plus gros nouveaux projets de construction</t>
  </si>
  <si>
    <t>??</t>
  </si>
  <si>
    <t xml:space="preserve">Favoriser des aménagements qui permettent une meilleure absorption des eaux pluviales lors de réaménagements de l’espace public </t>
  </si>
  <si>
    <t>fait dans les écoles</t>
  </si>
  <si>
    <t>Bruxelles Environnement Brusseau</t>
  </si>
  <si>
    <t>Proposer une prime à la création de surfaces perméables et végétales en cas de rénovation ou reconstruction de bâtiments afin de faciliter la percolation de l’eau dans les sols et l’absorption de la chaleur (v. formation d’un membre du service urbanisme sur la gestion de l’Eau pour suivi de ces demandes)</t>
  </si>
  <si>
    <t>EP (GT)</t>
  </si>
  <si>
    <t>5.Te.1</t>
  </si>
  <si>
    <t>Sensibiliser aux abonnement Villo pour les personnes éloignées du centre de Jette</t>
  </si>
  <si>
    <t>5.O.6</t>
  </si>
  <si>
    <t>% personne sensiblisé au villo</t>
  </si>
  <si>
    <t>5.Te.2</t>
  </si>
  <si>
    <t>Organiser des bus scolaires domicile-école</t>
  </si>
  <si>
    <t>5.O.12</t>
  </si>
  <si>
    <t>5.Te.3</t>
  </si>
  <si>
    <t>Prévoir des point de vente/échange de vélos d'occasion ou système de location</t>
  </si>
  <si>
    <t>en cours pour le personnel et pour les citoyens</t>
  </si>
  <si>
    <t>5.Te.4</t>
  </si>
  <si>
    <t>Ressencer le nombre de cyclistes sur Jette et faire une enquête</t>
  </si>
  <si>
    <t>5.O.9</t>
  </si>
  <si>
    <t>5.Te.5</t>
  </si>
  <si>
    <t>Extension Cambio et Poppy</t>
  </si>
  <si>
    <t>en cours pour Cambio</t>
  </si>
  <si>
    <t>5.O.10</t>
  </si>
  <si>
    <t>5.Te.6</t>
  </si>
  <si>
    <t>Augmenter le nombre de pistes cyclables en site propre</t>
  </si>
  <si>
    <t>5.O.13</t>
  </si>
  <si>
    <t>5.Te.9</t>
  </si>
  <si>
    <t>Promouvoir des plateformes pour déplacement personnes âgées: bus électriques, voitures taxis etc.</t>
  </si>
  <si>
    <t>5.Te.10</t>
  </si>
  <si>
    <t>Amménager des zones piétones (ex:  place du mirroir)</t>
  </si>
  <si>
    <t>5.O.14</t>
  </si>
  <si>
    <t>5.Te.12</t>
  </si>
  <si>
    <t>Promouvoir les itinéraires vélos sécurisés</t>
  </si>
  <si>
    <t>5.Te.13</t>
  </si>
  <si>
    <t>Mettre en place des navette gare-écoles</t>
  </si>
  <si>
    <t>5.Te.14</t>
  </si>
  <si>
    <t>Promouvoir les vélos cargos pour les livraisons et promouvoir les commerces qui le font</t>
  </si>
  <si>
    <t>5.O.2</t>
  </si>
  <si>
    <t>5.Te.15</t>
  </si>
  <si>
    <t>Promouvoir l'apprentissage vélo chez enfants (ex. HighFive.io)</t>
  </si>
  <si>
    <t>parc de circulation + ateliers</t>
  </si>
  <si>
    <t>5.A.14</t>
  </si>
  <si>
    <t>5.Te.16</t>
  </si>
  <si>
    <t>Soutenir la formation des seniors aux outils de calcul d'itinéraires (via bibliothèques, Viva Jette)</t>
  </si>
  <si>
    <t>5.Te.17</t>
  </si>
  <si>
    <t>Location vélo + prime pour aller travailler</t>
  </si>
  <si>
    <t>Villo (pas mission de la commune)</t>
  </si>
  <si>
    <t>5.Te.18</t>
  </si>
  <si>
    <t>Afficher la qualité de l'air pour encourager le vélo et sport en extérieur</t>
  </si>
  <si>
    <t>5.Te.19</t>
  </si>
  <si>
    <t>Promouvoir la marcher ou le vélo jusqu'au travail/école</t>
  </si>
  <si>
    <t>5.Te.20</t>
  </si>
  <si>
    <t>Lister et partager les circuits courts de Jette</t>
  </si>
  <si>
    <t>pas de sens (apllications le font automatiquement)</t>
  </si>
  <si>
    <t>5.Te.21</t>
  </si>
  <si>
    <t>Transformer toutes les rues en sens interdit de moins de 6m en rue cyclables</t>
  </si>
  <si>
    <t>5.A.10</t>
  </si>
  <si>
    <t>5.Te.22</t>
  </si>
  <si>
    <t>Développer des autoroutes cyclables avec les autres communes</t>
  </si>
  <si>
    <t>Des cyclostrades sont en cours (2 pour Jette en étude à côté de la gare/Wemmel-Asse et gare/Belgica), un partenariat avec Beliris</t>
  </si>
  <si>
    <t>5.Te.23</t>
  </si>
  <si>
    <t>Fermer les rues devant les écoles le matin et soir (sécurité des enfants)</t>
  </si>
  <si>
    <t>rue Verbeyst (le matin), rue Loossens (matin et soir), au cour au Prés Vert, Levis Mirepoix (encore à valider par le Collège)</t>
  </si>
  <si>
    <t>5.Te.24</t>
  </si>
  <si>
    <t>Proposer des abonnements spéciaux pour les moyens de transport durable dans Jette</t>
  </si>
  <si>
    <t>5.Te.25</t>
  </si>
  <si>
    <t>Réduire les places de parking: projet en cours  via directives régionales Good Move + limitation des places gratuites (zones bleu)</t>
  </si>
  <si>
    <t>5.Te.26</t>
  </si>
  <si>
    <t>Législation sur qualité du carburant, taxation, émissions et restrictions d'accès des véhicules urbains</t>
  </si>
  <si>
    <t>5.O.7</t>
  </si>
  <si>
    <t>5.Te.27</t>
  </si>
  <si>
    <t>Augmenter le nombre de rues limitées à 30km/h : sécurité et fluidité</t>
  </si>
  <si>
    <t>Déjà fait au niveau régional</t>
  </si>
  <si>
    <t>5.Te.28</t>
  </si>
  <si>
    <t>Augmenter le nombre des stations de recharges électriques sur l'EP</t>
  </si>
  <si>
    <t>en cours via Région, Sibelga</t>
  </si>
  <si>
    <t>5.Te.29</t>
  </si>
  <si>
    <t>Créer des parvis, sens unique et supprimer les arrêts près des écoles/crèches pour éviter les stationnements dangereux</t>
  </si>
  <si>
    <t>kiss&amp;ride(1 qui va rester), plutôt création des parvis devant les écoles et mettre rues à sens unique</t>
  </si>
  <si>
    <t>5.Te.31</t>
  </si>
  <si>
    <t>Sensbiliser à l'éco-conduite: arrêter les moteurs au ralenti (idling engine)</t>
  </si>
  <si>
    <t>avec l'arrivée prochaine des véhicules électriques, action de moindre importance à ce stade</t>
  </si>
  <si>
    <t>5.O.3</t>
  </si>
  <si>
    <t>5.Te.32</t>
  </si>
  <si>
    <t>Améliorer la logistique et frets (gestion des camionettes utilitaires des entreprises)</t>
  </si>
  <si>
    <t>rôle de la commune?? (interdiction via cartes riverains)</t>
  </si>
  <si>
    <t>5.M.2</t>
  </si>
  <si>
    <t>5.Te.33</t>
  </si>
  <si>
    <t>Développer le nombre de véhicules partagés (10 placements cambio en plus pour les citoyens)</t>
  </si>
  <si>
    <t>5.A.4</t>
  </si>
  <si>
    <t>5.Te.34</t>
  </si>
  <si>
    <t>Trouver un partenaire de location des véhicules électriques</t>
  </si>
  <si>
    <t>via cambio qui va devoir renouveler sa flotte</t>
  </si>
  <si>
    <t>5.Te.35</t>
  </si>
  <si>
    <t>Mettre en place une plateforme de partage de vélos électriques</t>
  </si>
  <si>
    <t>5.Te.36</t>
  </si>
  <si>
    <t>Promouvoir location de vélo chez enfants (Villo)</t>
  </si>
  <si>
    <t>projet fietsbib qui met à disposition des vélos enfants sur parking MC (abonnement annuel avec permanence les jeudis pour la réparation (partenariat avec Vélokanik en discussion)</t>
  </si>
  <si>
    <t>5.A.11</t>
  </si>
  <si>
    <t>5.Te.38</t>
  </si>
  <si>
    <t>Passer à un titre de mobilité unique</t>
  </si>
  <si>
    <t>5.Te.39</t>
  </si>
  <si>
    <t>Donner l'accès à des informations en temps réel sur leur trajet pour citoyens (bus, trains, voitures, vélos, piétons)</t>
  </si>
  <si>
    <t>hors scoop (il existe google maps, stib…)</t>
  </si>
  <si>
    <t>5.Te.40</t>
  </si>
  <si>
    <t>Réduire le trafic de transit dans les quartiers et développer des quartiers apaisés / zones à circulation restreinte (plan Good Move)</t>
  </si>
  <si>
    <t>via Good move - apaiser les quartiers (éviter sluipstraten)</t>
  </si>
  <si>
    <t>5.Te.41</t>
  </si>
  <si>
    <t>Etudier les redevances de stationnement différenciées</t>
  </si>
  <si>
    <t>petit à petit partout payant en cohérence avec plan Good Move</t>
  </si>
  <si>
    <t>5.Te.42</t>
  </si>
  <si>
    <t>Explorer les options pour les hubs d'autocars</t>
  </si>
  <si>
    <t>pas relevant pour Jette, plutôt pour BXL-midi ou pas mal de cars</t>
  </si>
  <si>
    <t>5.Te.43</t>
  </si>
  <si>
    <t>Mettre en place un système de véhicules de services partagés utilisant un covoiturage municipal</t>
  </si>
  <si>
    <t>compliqué à mettre en route (quid assurances, gestion…?)</t>
  </si>
  <si>
    <t>Poursuivre le développement des transports publics (modernisation des lignes existantes de tram et de bus, amélioration de l’intermodalité train-tram-bus-vélo)</t>
  </si>
  <si>
    <t>projets en cours/réaménagement de rue pour favoriser le TC + développement réseau stib</t>
  </si>
  <si>
    <t>Développer le parc de vélos en libre-service (Villo)</t>
  </si>
  <si>
    <t>pas envisagé</t>
  </si>
  <si>
    <t>Soutenir les initiatives de véhicules partagés et l’auto partage (via articles jette) info...)</t>
  </si>
  <si>
    <t>Renverser la priorité des usagers dans l’espace public : piéton, mobilité douce, transports en commun et ensuite voiture</t>
  </si>
  <si>
    <t>Good move - appliquer spécialisation multi modale des voiries (pour chaque rue la priorité des usagers est examiné)</t>
  </si>
  <si>
    <t>Soutenir les modes de déplacements actifs : itinéraires cyclables communaux, marquages cyclables, arceaux, installation de véloboxes, plan piéton, …</t>
  </si>
  <si>
    <t>voir spécialisation multi modale des voiries</t>
  </si>
  <si>
    <t>Développer les pistes cyclabes sur les voiries communales (ex. av. Sacre Cœur en dehors du plan Good Move)</t>
  </si>
  <si>
    <t>6.Te.1</t>
  </si>
  <si>
    <t>Augmenter la police de proximité et les répressions (dépôts clandestins et non respect de la réglementation)</t>
  </si>
  <si>
    <t>1tonne de dépots par jour ; manque d'effectif ; horaires</t>
  </si>
  <si>
    <t>nbre de dépot clandestin et non conforme MAX</t>
  </si>
  <si>
    <t>6.Te.2</t>
  </si>
  <si>
    <t>Interdire le plastique à usage unique dans les événements soutenus par la commune</t>
  </si>
  <si>
    <t>% évenements soutenus par la commune sans plastique à usage unique</t>
  </si>
  <si>
    <t>services organisateurs</t>
  </si>
  <si>
    <t>6.Te.3</t>
  </si>
  <si>
    <t>Sensibiliser à la réutilisation des matériaux de construction sur les chantiers</t>
  </si>
  <si>
    <t>via les permis d'urbanisme?</t>
  </si>
  <si>
    <t>% chantier avec réutilisation de matériaux</t>
  </si>
  <si>
    <t>6.Te.4</t>
  </si>
  <si>
    <t>Rendre les events communaux zéro déchet</t>
  </si>
  <si>
    <t>% évenements communaux zéro déchet</t>
  </si>
  <si>
    <t>6.Te.6</t>
  </si>
  <si>
    <t>Proposer de la vaisselle réutilisable aux comités de quartiers</t>
  </si>
  <si>
    <t>6.A.1</t>
  </si>
  <si>
    <t>% quartiers avec vaisselles réutilisables disponibles</t>
  </si>
  <si>
    <t>6.Te.7</t>
  </si>
  <si>
    <t>Encourager les achats en vrac</t>
  </si>
  <si>
    <t>via carte des commerces, label des commerces No impact…</t>
  </si>
  <si>
    <t>% d'habitant réalisant des achats en vrac de façon régulière</t>
  </si>
  <si>
    <t>6.Te.8</t>
  </si>
  <si>
    <t>Sensibiliser les commerces à proposer des emballages cautionnés</t>
  </si>
  <si>
    <t xml:space="preserve">6.O.4 </t>
  </si>
  <si>
    <t xml:space="preserve">% de commerces alimentaires avec emballages cautionnés </t>
  </si>
  <si>
    <t>6.Te.10</t>
  </si>
  <si>
    <t>Encourager le compostage</t>
  </si>
  <si>
    <t>% d'habitant faisant du compostage</t>
  </si>
  <si>
    <t>6.Te.11</t>
  </si>
  <si>
    <t>Encourager les traiteurs à utiliser emballages réutilisables</t>
  </si>
  <si>
    <t>% de traiteurs avec emballage réutilisables</t>
  </si>
  <si>
    <t>6.Te.12</t>
  </si>
  <si>
    <t>Sensibiliser au zéro déchet et à la récup dans les écoles (bricolage avec déchets, upcycling, propreté…)</t>
  </si>
  <si>
    <t>% école avec campagne de sensibilisation zéro déchet</t>
  </si>
  <si>
    <t xml:space="preserve">Ecoles </t>
  </si>
  <si>
    <t>6.Te.14</t>
  </si>
  <si>
    <t>Communiquer sur cycle de vie des déchets</t>
  </si>
  <si>
    <t>% habitant touché par la campagne de sensibilisation</t>
  </si>
  <si>
    <t>6.Te.15</t>
  </si>
  <si>
    <t>Augmenter le nombre de poubelles dans l'EP</t>
  </si>
  <si>
    <t>politique de rationnaliser les poubelles dans l'EP</t>
  </si>
  <si>
    <t>6.Te.16</t>
  </si>
  <si>
    <t>Encourager le tri des déchêts et promouvoir le sac orange (distribution de poubelles, articles…)</t>
  </si>
  <si>
    <t>% triant leurs déchets utilisant le sac orange</t>
  </si>
  <si>
    <t>6.Te.18</t>
  </si>
  <si>
    <t>Limiter l'utilisation des cheminées (feux ouverts)</t>
  </si>
  <si>
    <t>pas de levier au niveau communal?</t>
  </si>
  <si>
    <t>6.Te.19</t>
  </si>
  <si>
    <t>Augmenter fréquence de nettoyage des rues: poussière devant les habitations</t>
  </si>
  <si>
    <t>chaque habitant doit le faire ; il faudrait une adaptation de la législation ; faire de la sensibilisation</t>
  </si>
  <si>
    <t>6.Te.21</t>
  </si>
  <si>
    <t>Mener une étude sur les déchets en crèche (utilisation de langes biodégradables ou lavables, sachets, lingettes…)</t>
  </si>
  <si>
    <t>via subside BE?</t>
  </si>
  <si>
    <t>6.Te.22</t>
  </si>
  <si>
    <t xml:space="preserve">Offrir un pack zéro déchets lors d’une naissance (pour les citoyens et les membres du personnel) </t>
  </si>
  <si>
    <t>% de famille avec nouvelle naissance recevant le pack zéro déchet</t>
  </si>
  <si>
    <t>DDE, Etat civil</t>
  </si>
  <si>
    <t>6.Te.23</t>
  </si>
  <si>
    <t>Promouvoir l’installation de boites à livre</t>
  </si>
  <si>
    <t>Installer des cendriers dans l’espace public et distribuer des cendriers portables tout en sensibilisant à la question</t>
  </si>
  <si>
    <t>pas au sol ! Les cendriers seront prochainement vidés à vélo</t>
  </si>
  <si>
    <t>nbre de cendriers installés/cendriers distribués</t>
  </si>
  <si>
    <t>EP (Propreté)</t>
  </si>
  <si>
    <t>Diminuer les déchets des événements en imposant le respect d’une charte (type « charte éco-événement de Bruxelles Environnement »)</t>
  </si>
  <si>
    <t>% évenements avec charte</t>
  </si>
  <si>
    <t>VEA Services organisateurs</t>
  </si>
  <si>
    <t>Soutenir le compostage individuel et collectif des déchets organiques (réduction des quantités transportées par camion et incinérées)</t>
  </si>
  <si>
    <t>% de réduction de quantité de déchet transporté (p/r année de référence)</t>
  </si>
  <si>
    <t>Réaliser une analyse de faisabilité pour mettre en place une ressourcerie</t>
  </si>
  <si>
    <t>étude réalisée</t>
  </si>
  <si>
    <t>7.Te.1</t>
  </si>
  <si>
    <t>Développer le Jette Met (augmenter l'offre)</t>
  </si>
  <si>
    <t>à définir</t>
  </si>
  <si>
    <t>7.Te.3</t>
  </si>
  <si>
    <t>Valoriser les invendus: magasins solidaires, restaurants sociaux etc.</t>
  </si>
  <si>
    <t>%invendus valorisés</t>
  </si>
  <si>
    <t>7.Te.4</t>
  </si>
  <si>
    <t>Encourager les producteurs locaux à proposer leur marchandise sur Jette</t>
  </si>
  <si>
    <t>% produits locaux présents dans les magasins d'alimentation</t>
  </si>
  <si>
    <t>7.Te.5</t>
  </si>
  <si>
    <t>Attirer de nouveaux commercants si ceux présents ne veulent pas faire des efforts</t>
  </si>
  <si>
    <t>7.Te.6</t>
  </si>
  <si>
    <t>Utiliser applications pour invendus: Too Good to Go ou alimentation durable (Eatlocal)</t>
  </si>
  <si>
    <t>6.O.1</t>
  </si>
  <si>
    <t>% invendus non-gaspillés grâce aux applications</t>
  </si>
  <si>
    <t>7.Te.7</t>
  </si>
  <si>
    <t>Inciter Biscoop à s'installer à Jette (produits moins chers contre heures de travail)</t>
  </si>
  <si>
    <t>7.Te.8</t>
  </si>
  <si>
    <t>Proposer à des Foodtrucks électriques de proposer des repas sains près des écoles/ lieux de travail</t>
  </si>
  <si>
    <t>7.O.1</t>
  </si>
  <si>
    <t>7.Te.9</t>
  </si>
  <si>
    <t>Organsier une fête de récolte des surplus de fruits</t>
  </si>
  <si>
    <t>Est-ce qu'il y a ce type de problème à Jette?</t>
  </si>
  <si>
    <t>7.Te.11</t>
  </si>
  <si>
    <t>Communiquer les initiatives d'achats alimentaires groupés pour citoyens (moins cher en grande qté)</t>
  </si>
  <si>
    <t>il faut juste connaitre les initiatives existantes</t>
  </si>
  <si>
    <t>% habitants touchés par la communication</t>
  </si>
  <si>
    <t>7.Te.12</t>
  </si>
  <si>
    <t>Créer un marché durable en soirée en été</t>
  </si>
  <si>
    <t>7.Te.14</t>
  </si>
  <si>
    <t>Autoriser le placement de distributeurs automatiques de fruits et légumes locaux; commandes de box</t>
  </si>
  <si>
    <t>7.Te.15</t>
  </si>
  <si>
    <t>Articles réguliers sur l'alimentation durable dans le journal communal et réseaux</t>
  </si>
  <si>
    <t>Nbre d'article sur l'alimentation durable MIN</t>
  </si>
  <si>
    <t>7.Te.16</t>
  </si>
  <si>
    <t>Aider les écoles à obtenir le label Good Food en promouvant des actions contre le gaspillage alimentaire, le développement de potagers et d'autres actions (L'oignon fait la force)</t>
  </si>
  <si>
    <t>projet en standby d'ici qq années</t>
  </si>
  <si>
    <t>% avec label Good Food</t>
  </si>
  <si>
    <t>Ecoles DDE, VSC</t>
  </si>
  <si>
    <t>7.Te.17</t>
  </si>
  <si>
    <t>Encourager des restaurants à proposer un nouveau plat végétarien sur leur carte</t>
  </si>
  <si>
    <t>via label ?</t>
  </si>
  <si>
    <t>% restaurant avec nouveau plat végétarien</t>
  </si>
  <si>
    <t>Proposer aux restaurateurs d’inclure au moins un repas végétarien sur leur carte et/ou Good Food</t>
  </si>
  <si>
    <t>% restaurant avec nouveau plat végétarien et/ou Good Food</t>
  </si>
  <si>
    <t>8.Te.1</t>
  </si>
  <si>
    <t>Soutenir (ou initier) des échanges &amp; partages: vélos, babythèque</t>
  </si>
  <si>
    <t>8.Te.2</t>
  </si>
  <si>
    <t>Communiquer sur des bonnes pratiques d'achats durables</t>
  </si>
  <si>
    <t>% habitant touché par la communication sur les bonnes pratiques</t>
  </si>
  <si>
    <t>8.Te.3</t>
  </si>
  <si>
    <t>Marchés publics durables ouverts aux citoyens (achats groupés)</t>
  </si>
  <si>
    <t>rôle de promotion, relais d'information</t>
  </si>
  <si>
    <t>8.Te.4</t>
  </si>
  <si>
    <t>Augmenter l'offre de commerces durables à Jette (les inciter à s'implenter à Jette)</t>
  </si>
  <si>
    <t>8.Te.5</t>
  </si>
  <si>
    <t>Proposer des chèques commerces avec majoration pour les commerces durables</t>
  </si>
  <si>
    <t>8.Te.6</t>
  </si>
  <si>
    <t>Mettre en valeur les initiatives locales: maraichage jettois, artisans etc.</t>
  </si>
  <si>
    <t>la difficulté est de toutes les lister</t>
  </si>
  <si>
    <t>% initiative locales mises en avant</t>
  </si>
  <si>
    <t>8.Te.7</t>
  </si>
  <si>
    <t>Analyser avec les comités de quartiers les besoins en matériels à mutualiser</t>
  </si>
  <si>
    <t>Besoins en matériels à mutualiser analysés</t>
  </si>
  <si>
    <t>8.Te.8</t>
  </si>
  <si>
    <t>Organiser une donnerie ou revente de matériel scolaire de seconde main</t>
  </si>
  <si>
    <t>Donnerie organisée</t>
  </si>
  <si>
    <t>DDE, VSC, Ecoles</t>
  </si>
  <si>
    <t>8.Te.9</t>
  </si>
  <si>
    <t>Créer un label des commerces durables à Jette avec référencement online</t>
  </si>
  <si>
    <t>VEA, DDE</t>
  </si>
  <si>
    <t>8.Te.10</t>
  </si>
  <si>
    <t>Organiser un appel aux savoirs oubliés des aînés: couture, conserves etc.</t>
  </si>
  <si>
    <t>à intégrer dans les ateliers NIJ</t>
  </si>
  <si>
    <t>8.Te.11</t>
  </si>
  <si>
    <t>Crèches: favoriser les achats de jouets et textiles durables</t>
  </si>
  <si>
    <t>sensibilier les crèches</t>
  </si>
  <si>
    <t>% crèches où les achats durables sont favorisés</t>
  </si>
  <si>
    <t>Mettre en place une charte du « Commerce No Impact Jette » basée sur l’alimentation durable, le zéro déchet et la réduction de l’énergie</t>
  </si>
  <si>
    <t>voir point charte/label</t>
  </si>
  <si>
    <t>9.Te.1</t>
  </si>
  <si>
    <t>Qualité de l'air</t>
  </si>
  <si>
    <t>Mettre en place une (plusieurs) station(s) d'Air quality monitoring à Jette  afin d’informer la population. Les mesures seront disponibles en direct sur le site internet de la Commune</t>
  </si>
  <si>
    <t>voir le prix ou voir avec BE</t>
  </si>
  <si>
    <t>Collège EP (AU)</t>
  </si>
  <si>
    <t>9.Te.2</t>
  </si>
  <si>
    <t>Diffuser sur les futur écrans communaux les alertes de pics de pollution</t>
  </si>
  <si>
    <t>9.Te.3</t>
  </si>
  <si>
    <t>Afficher la qualité de l'air pour encourager vélo et sport en extérieur (communiqyer en temps réel sur la qualité de l'air (Clearchanel)</t>
  </si>
  <si>
    <t>voir la balance coût et intérêt</t>
  </si>
  <si>
    <t>9.Te.6</t>
  </si>
  <si>
    <t>Sensibiliser sur la mauvaise qualité de l'air (avec Bruxelles Environnement)</t>
  </si>
  <si>
    <t>voir action ci-dessus</t>
  </si>
  <si>
    <t>9.Te.7</t>
  </si>
  <si>
    <t>Sensibiliser dans les écoles à la qualité de l'air (tinker with waste)</t>
  </si>
  <si>
    <t>en cours dans les écoles NL</t>
  </si>
  <si>
    <t>écoles</t>
  </si>
  <si>
    <t>9.Te.8</t>
  </si>
  <si>
    <t>Identifier les mauvais comportements et habitudes en matière de qualité de l'air via des sondages + trouver solutions</t>
  </si>
  <si>
    <t>9.Te.9</t>
  </si>
  <si>
    <t>Analyser la qualité de l’air dans les différents locaux des crèches et si besoin, installer des purificateurs d’air pour résoudre un éventuel problème (COV par exemple)</t>
  </si>
  <si>
    <t>crèches</t>
  </si>
  <si>
    <t>Quid de la question des produits chimiques / qualité de l'air</t>
  </si>
  <si>
    <t>10.Te.1</t>
  </si>
  <si>
    <t>Aquaponie</t>
  </si>
  <si>
    <t>bonne idée mais pas pour la commune</t>
  </si>
  <si>
    <t>10.Te.2</t>
  </si>
  <si>
    <t>Collaborer avec Citidev</t>
  </si>
  <si>
    <t>Collaboration mise en place</t>
  </si>
  <si>
    <t>10.Te.3</t>
  </si>
  <si>
    <t>Mettre à disposition des terrains, ateliers pour les jeunes entrepreneurs</t>
  </si>
  <si>
    <t xml:space="preserve">projet hub "auberge espagnole" + projets mraichages </t>
  </si>
  <si>
    <t>Nbre de terrains/ateliers mis à disposition</t>
  </si>
  <si>
    <t>10.Te.4</t>
  </si>
  <si>
    <t>Communiquer sur les enjeux du recyclage et le cycle de vie des produits</t>
  </si>
  <si>
    <t>% d'habitants touchées par la communication</t>
  </si>
  <si>
    <t>10.Te.5</t>
  </si>
  <si>
    <t>Sensibilisation des élèves de 6e secondaire sur les opportunités d'entreprise dans les économies circulaire</t>
  </si>
  <si>
    <t>10.Te.6</t>
  </si>
  <si>
    <t>Promouvoir la zinne et participer à son déploiement</t>
  </si>
  <si>
    <t>10.Te.7</t>
  </si>
  <si>
    <t>Promouvoir la symbiose industrielle dans les zones industrielles et d'entreprises</t>
  </si>
  <si>
    <t>10.Te.8</t>
  </si>
  <si>
    <t>Augmenter la visibilité des circuits courts dans Jette</t>
  </si>
  <si>
    <t>% d'habitants connaissant les initiatives exitstantes</t>
  </si>
  <si>
    <t>10.Te.9</t>
  </si>
  <si>
    <t>Mettre en place un listing des initiatives existantes: applications t.q. TooGoodToGo, commerces et restaurants durables</t>
  </si>
  <si>
    <t>Listing mis en place</t>
  </si>
  <si>
    <t>10.Te.10</t>
  </si>
  <si>
    <t>Réaliser un concours d'upcycling dans les écoles ou la population</t>
  </si>
  <si>
    <t>10.Te.11</t>
  </si>
  <si>
    <t>Mettre en place des centres de prêt (babythèque, vélo, outils…)</t>
  </si>
  <si>
    <t>10.Te.13</t>
  </si>
  <si>
    <t>Développer un comptoir de vente de produits locaux</t>
  </si>
  <si>
    <t>pas de levier au niveau communal</t>
  </si>
  <si>
    <t>10.Te.14</t>
  </si>
  <si>
    <t>Réutiliser les bâches de chantier (Handymade in Brussels)</t>
  </si>
  <si>
    <t>ici, les entrepreneurs récupèrent les baches. Si utilisation d'une bache communale, cela pourrait être envisagé</t>
  </si>
  <si>
    <t>Sensibiliser au système d'échange de services non monétisés (SEL)</t>
  </si>
  <si>
    <t>% d'habitant sensibilisé au SEL</t>
  </si>
  <si>
    <t>VSC, AFN</t>
  </si>
  <si>
    <t>10.Ad.10</t>
  </si>
  <si>
    <t>Développer un projet de ressourcerie</t>
  </si>
  <si>
    <t>Projet de ressourcerie développé</t>
  </si>
  <si>
    <t>Propreté</t>
  </si>
  <si>
    <t>10.Ad.11</t>
  </si>
  <si>
    <t>Développer les Repair Cafés</t>
  </si>
  <si>
    <t>AFN</t>
  </si>
  <si>
    <t>Réaliser des ateliers d'upcycling pour la population</t>
  </si>
  <si>
    <t>à lier aux ateliers NIJ ?</t>
  </si>
  <si>
    <t>10.Ad.14</t>
  </si>
  <si>
    <t>Ateliers de coutures: renforcer la cohésion sociale et le partages d'expériences dans les quartiers</t>
  </si>
  <si>
    <t>Ateliers de couture dévellopés</t>
  </si>
  <si>
    <t>Faire la promotion d’initiatives favorisant la collaboration entre citoyens, telles que le SEL, et / ou qui permettent de donner une seconde vie aux objets (brocantes, donneries, repair-cafés, etc)</t>
  </si>
  <si>
    <t>% d'habitants touchés par la campagne</t>
  </si>
  <si>
    <t>Solidarité internationale</t>
  </si>
  <si>
    <t>Associations CPAS, CABA, VEA</t>
  </si>
  <si>
    <t>Proposer à nos commerçants de se fournir en circuit-court  (alimentaire - )</t>
  </si>
  <si>
    <t>% commerçant se fournissant en circuit court</t>
  </si>
  <si>
    <t>Encourager les circuits courts sur les marchés et la vente de produits issus de l’agriculture locale. Ceux-ci devraient être clairement identifiables</t>
  </si>
  <si>
    <t>faire une zone durable au marché dominical</t>
  </si>
  <si>
    <t>% de producteurs de circuits courts sur les marchés et les ventes</t>
  </si>
  <si>
    <r>
      <t xml:space="preserve">Encourager les marchés locaux et durables comme le </t>
    </r>
    <r>
      <rPr>
        <i/>
        <sz val="11"/>
        <color theme="1"/>
        <rFont val="Calibri"/>
        <family val="2"/>
        <scheme val="minor"/>
      </rPr>
      <t xml:space="preserve">Jette </t>
    </r>
    <r>
      <rPr>
        <sz val="11"/>
        <color theme="1"/>
        <rFont val="Calibri"/>
        <family val="2"/>
        <scheme val="minor"/>
      </rPr>
      <t>met (réduction de la distance du champ à l’assiette)</t>
    </r>
  </si>
  <si>
    <t>DDE VEA</t>
  </si>
  <si>
    <t>Santé</t>
  </si>
  <si>
    <t>Catégorie slide ppt CCF</t>
  </si>
  <si>
    <t>Liste de faits</t>
  </si>
  <si>
    <t>AFOM</t>
  </si>
  <si>
    <t>Lettre</t>
  </si>
  <si>
    <t>Scope</t>
  </si>
  <si>
    <t>Numéro thématique</t>
  </si>
  <si>
    <t xml:space="preserve">Numéro AFOM </t>
  </si>
  <si>
    <t>No_Action_1</t>
  </si>
  <si>
    <t>No_Action_2</t>
  </si>
  <si>
    <t>No_Action_3</t>
  </si>
  <si>
    <t>No_Action_4</t>
  </si>
  <si>
    <t>No_Action_5</t>
  </si>
  <si>
    <t>Liste thématique</t>
  </si>
  <si>
    <t>Numéro de thématique</t>
  </si>
  <si>
    <t>Service imprimerie</t>
  </si>
  <si>
    <r>
      <t>•</t>
    </r>
    <r>
      <rPr>
        <sz val="12"/>
        <color theme="1"/>
        <rFont val="Calibri"/>
        <family val="2"/>
        <scheme val="minor"/>
      </rPr>
      <t>Les cartouches sont reprises par la firme et recyclées</t>
    </r>
  </si>
  <si>
    <t>Atout</t>
  </si>
  <si>
    <t>A</t>
  </si>
  <si>
    <t>8.A.1</t>
  </si>
  <si>
    <t>Territoire</t>
  </si>
  <si>
    <r>
      <t>•</t>
    </r>
    <r>
      <rPr>
        <sz val="12"/>
        <color theme="1"/>
        <rFont val="Calibri"/>
        <family val="2"/>
        <scheme val="minor"/>
      </rPr>
      <t>Encre du copieur Riso est à base de soja, sans solvants et biodégradable</t>
    </r>
  </si>
  <si>
    <t>8.A.2</t>
  </si>
  <si>
    <t>Faiblesse</t>
  </si>
  <si>
    <r>
      <t>•</t>
    </r>
    <r>
      <rPr>
        <sz val="12"/>
        <color theme="1"/>
        <rFont val="Calibri"/>
        <family val="2"/>
        <scheme val="minor"/>
      </rPr>
      <t>Pour les services de l’administration,, c’est du papier recyclé qui est fourni</t>
    </r>
  </si>
  <si>
    <t>8.A.3</t>
  </si>
  <si>
    <t>Opportunité</t>
  </si>
  <si>
    <t>Administration/Territoire</t>
  </si>
  <si>
    <r>
      <t>•</t>
    </r>
    <r>
      <rPr>
        <sz val="12"/>
        <color theme="1"/>
        <rFont val="Calibri"/>
        <family val="2"/>
        <scheme val="minor"/>
      </rPr>
      <t xml:space="preserve">Les rectos/versos, format carnet et flyers A5 sont privilégiés </t>
    </r>
  </si>
  <si>
    <t>8.A.4</t>
  </si>
  <si>
    <t>Menace</t>
  </si>
  <si>
    <r>
      <t>•</t>
    </r>
    <r>
      <rPr>
        <sz val="12"/>
        <color theme="1"/>
        <rFont val="Calibri"/>
        <family val="2"/>
        <scheme val="minor"/>
      </rPr>
      <t>Les quantités sont contrôlées (nécessité, re-tirage)</t>
    </r>
  </si>
  <si>
    <t>8.A.5</t>
  </si>
  <si>
    <r>
      <t>•</t>
    </r>
    <r>
      <rPr>
        <sz val="12"/>
        <color theme="1"/>
        <rFont val="Calibri"/>
        <family val="2"/>
        <scheme val="minor"/>
      </rPr>
      <t>Application Konecto pour communiquer avec les parents (Arbre Ballon)</t>
    </r>
  </si>
  <si>
    <t>8.A.6</t>
  </si>
  <si>
    <r>
      <t>•</t>
    </r>
    <r>
      <rPr>
        <sz val="12"/>
        <color theme="1"/>
        <rFont val="Calibri"/>
        <family val="2"/>
        <scheme val="minor"/>
      </rPr>
      <t>Photocopies recto-verso</t>
    </r>
  </si>
  <si>
    <t>RBC</t>
  </si>
  <si>
    <r>
      <t>Régional</t>
    </r>
    <r>
      <rPr>
        <sz val="12"/>
        <color theme="1"/>
        <rFont val="Calibri"/>
        <family val="2"/>
        <scheme val="minor"/>
      </rPr>
      <t xml:space="preserve"> : Un groupe de travail régional dont Jette fait partie s’atèle à la digitalisation des archives papier</t>
    </r>
  </si>
  <si>
    <t>8.A.8</t>
  </si>
  <si>
    <t>Gestion du territoire</t>
  </si>
  <si>
    <r>
      <t>•</t>
    </r>
    <r>
      <rPr>
        <sz val="12"/>
        <color theme="1"/>
        <rFont val="Calibri"/>
        <family val="2"/>
        <scheme val="minor"/>
      </rPr>
      <t xml:space="preserve">Les demandes de permis doivent être introduites par format papier </t>
    </r>
  </si>
  <si>
    <t>F</t>
  </si>
  <si>
    <t>8.F.1</t>
  </si>
  <si>
    <r>
      <t>•</t>
    </r>
    <r>
      <rPr>
        <sz val="12"/>
        <color theme="1"/>
        <rFont val="Calibri"/>
        <family val="2"/>
        <scheme val="minor"/>
      </rPr>
      <t>Ils fournissent les plans en format papier</t>
    </r>
  </si>
  <si>
    <t>8.F.2</t>
  </si>
  <si>
    <t>•Pas possible d’imposer l’utilisation de certains matériaux lors de la demande de permis</t>
  </si>
  <si>
    <t>8.F.3</t>
  </si>
  <si>
    <t>Service énergie/GTB/HVAC</t>
  </si>
  <si>
    <t>•Construction des batiments modulables en prenant en compte la durabilité des matériaux, la gestion de l’eau, etc.</t>
  </si>
  <si>
    <t>O</t>
  </si>
  <si>
    <t>Service IT</t>
  </si>
  <si>
    <r>
      <t>•</t>
    </r>
    <r>
      <rPr>
        <sz val="12"/>
        <color theme="1"/>
        <rFont val="Calibri"/>
        <family val="2"/>
        <scheme val="minor"/>
      </rPr>
      <t>Réduction du nombre d’imprimantes</t>
    </r>
  </si>
  <si>
    <t>8.O.2</t>
  </si>
  <si>
    <r>
      <t>•</t>
    </r>
    <r>
      <rPr>
        <sz val="12"/>
        <color theme="1"/>
        <rFont val="Calibri"/>
        <family val="2"/>
        <scheme val="minor"/>
      </rPr>
      <t xml:space="preserve">Passage vers des datacenters régionaux ou hybrides </t>
    </r>
  </si>
  <si>
    <t>8.O.3</t>
  </si>
  <si>
    <t>Remaniement de cahiers de charges au niveau des exigences techniques (imposition aux partenaires des exigences concernant l’écologie)
   •via la demande de labels/normes spécifiques (ex: papier avec« Der blauwe engel », ou « ecolabel »)
   •via des recommandations strictes sur les produits à éviter (ex: produit d’entretien: pas de parfums de synthèse, remarques sur le conditionnement, etc…)</t>
  </si>
  <si>
    <t>8.O.4</t>
  </si>
  <si>
    <r>
      <t>•</t>
    </r>
    <r>
      <rPr>
        <sz val="12"/>
        <color theme="1"/>
        <rFont val="Calibri"/>
        <family val="2"/>
        <scheme val="minor"/>
      </rPr>
      <t>Collation saine et petit déjeuner Oxfam-commerce équitable dans l’école Vanhelmont</t>
    </r>
  </si>
  <si>
    <t>7.A.1</t>
  </si>
  <si>
    <r>
      <t>•</t>
    </r>
    <r>
      <rPr>
        <sz val="12"/>
        <color theme="1"/>
        <rFont val="Calibri"/>
        <family val="2"/>
        <scheme val="minor"/>
      </rPr>
      <t>Fruits et légumes : le bio et les circuits courts sont privilégiés</t>
    </r>
  </si>
  <si>
    <t>7.A.2</t>
  </si>
  <si>
    <r>
      <t>•</t>
    </r>
    <r>
      <rPr>
        <sz val="12"/>
        <color theme="1"/>
        <rFont val="Calibri"/>
        <family val="2"/>
        <scheme val="minor"/>
      </rPr>
      <t>Boissons : depuis 2020, seul l’achat de bouteilles en verre avec consigne est toléré. L’installation et l’utilisation de fontaines à eau au sein des différents bâtiments de l’administration  a par ailleurs été généralisée.</t>
    </r>
  </si>
  <si>
    <t>7.A.3</t>
  </si>
  <si>
    <t>Service développement durable - Environnement</t>
  </si>
  <si>
    <r>
      <t>•</t>
    </r>
    <r>
      <rPr>
        <sz val="12"/>
        <color theme="1"/>
        <rFont val="Calibri"/>
        <family val="2"/>
        <scheme val="minor"/>
      </rPr>
      <t>catering durable et équitable pour les réunion (café équitable...)</t>
    </r>
  </si>
  <si>
    <t>7.A.4</t>
  </si>
  <si>
    <r>
      <t>•</t>
    </r>
    <r>
      <rPr>
        <sz val="12"/>
        <color theme="1"/>
        <rFont val="Calibri"/>
        <family val="2"/>
        <scheme val="minor"/>
      </rPr>
      <t>ateliers de sensibilisation à une alimentation durable et équitable</t>
    </r>
  </si>
  <si>
    <r>
      <t>•</t>
    </r>
    <r>
      <rPr>
        <sz val="12"/>
        <color theme="1"/>
        <rFont val="Calibri"/>
        <family val="2"/>
        <scheme val="minor"/>
      </rPr>
      <t xml:space="preserve">- Marché durable Jette Met </t>
    </r>
  </si>
  <si>
    <r>
      <t>•</t>
    </r>
    <r>
      <rPr>
        <sz val="12"/>
        <color theme="1"/>
        <rFont val="Calibri"/>
        <family val="2"/>
        <scheme val="minor"/>
      </rPr>
      <t>- Campagne de sensibilisation pour les citoyens (No Impact Jette, ateliers good food, cultiver en ville, semaine du commerce équitable,...)</t>
    </r>
  </si>
  <si>
    <r>
      <t>•</t>
    </r>
    <r>
      <rPr>
        <sz val="12"/>
        <color theme="1"/>
        <rFont val="Calibri"/>
        <family val="2"/>
        <scheme val="minor"/>
      </rPr>
      <t>- Label commune du commerce équitable</t>
    </r>
  </si>
  <si>
    <r>
      <t>•</t>
    </r>
    <r>
      <rPr>
        <sz val="12"/>
        <color theme="1"/>
        <rFont val="Calibri"/>
        <family val="2"/>
        <scheme val="minor"/>
      </rPr>
      <t>- projets de culture en ville : potagers collectifs et individuels, vergers collectifs, incroyables comestibles...</t>
    </r>
  </si>
  <si>
    <r>
      <t>•</t>
    </r>
    <r>
      <rPr>
        <sz val="12"/>
        <color theme="1"/>
        <rFont val="Calibri"/>
        <family val="2"/>
        <scheme val="minor"/>
      </rPr>
      <t>Instauration d’alimentation durable</t>
    </r>
  </si>
  <si>
    <r>
      <t>•</t>
    </r>
    <r>
      <rPr>
        <sz val="12"/>
        <color theme="1"/>
        <rFont val="Calibri"/>
        <family val="2"/>
        <scheme val="minor"/>
      </rPr>
      <t>événements avec produits durables et équitables (Saint Nicolas, petit déjeuner...) en projet : catering durable et équitable pour les événements</t>
    </r>
  </si>
  <si>
    <t>Service RH</t>
  </si>
  <si>
    <t>•Formation des employés à la surconsommation et gaspillage énergétique déjà mise en place</t>
  </si>
  <si>
    <t>4.A.1</t>
  </si>
  <si>
    <t>•Ils suppriment totalement le mazout et pousse donc au passage au gaz naturel</t>
  </si>
  <si>
    <t>4.A.2</t>
  </si>
  <si>
    <t>•LED pour les éclairages de fin d’année ; Relighting dans les écoles</t>
  </si>
  <si>
    <t>4.A.3</t>
  </si>
  <si>
    <t>•Pas de reconstruction en intérieur d’ilot</t>
  </si>
  <si>
    <t>4.A.4</t>
  </si>
  <si>
    <t>•Le principe de bon aménagement des lieux est parfois d’application pour déroger à des normes/obligations (ex: isoler + 12cm en façade)</t>
  </si>
  <si>
    <t>4.A.5</t>
  </si>
  <si>
    <t>•Demande parfois d’aller plus loin que Bruxelles Environnement (ex: demande d’installer une citerne lors d’une demande de descente d’eau de pluie)</t>
  </si>
  <si>
    <t>4.A.6</t>
  </si>
  <si>
    <t>•Fournissent les informations relatives à l’obtention de prime</t>
  </si>
  <si>
    <t>Service développement durable-Environnement</t>
  </si>
  <si>
    <t>•prime pour l'isolation de la toiture et conseils aux habitants sur les primes énergie et rénovation existantes</t>
  </si>
  <si>
    <t>•Pas de sensibilisation à leur niveau (seulement une distribution de Flyer de Sibelga dans les écoles)</t>
  </si>
  <si>
    <t>•Incitation informelle à l’isolation maximale et aux placements de panneaux photovoltaïques</t>
  </si>
  <si>
    <t>•Ils ne s’occupent ni de la communication, ni de la sensibilisation</t>
  </si>
  <si>
    <t xml:space="preserve">•Il n’existe pas de service de conseil en rénovation. Les citoyens sont redirigés vers Homegrade, vers Bruxelles Environnement ou vers l’ASBL Bonne Vie de Molenbeek. </t>
  </si>
  <si>
    <t>•« Plan bâtiment » sur 10 ans existe mais n’est pas mis à jour</t>
  </si>
  <si>
    <t>M</t>
  </si>
  <si>
    <t>4.M.1</t>
  </si>
  <si>
    <t>•Manque d’adéquation entre les objectifs et les moyens dont la Commune dispose</t>
  </si>
  <si>
    <t xml:space="preserve">•l’amélioration des chaufferies (remplacement des chaudières et installations vieillissantes (+15 ans) par de la condensation) se fait déjà par le service énergie
   •30.000 euros par an ; 6 remplacées en 2018, 3 en 2019 et 3 en 2020 (logements individuels)
   •Placement de vannes thermostatiques
   •Pose de dataloggers dans divers batiments
   •Isolation des tuyauteries de chauffage </t>
  </si>
  <si>
    <t>•l’isolation des batiments, sur base du budget annuel (partagé avec la voirie et les batiments) fait partie de l'amélioration de la performance énergétique mise en place par le service énergie</t>
  </si>
  <si>
    <t>•Sibelga a proposé de l’aide pour le placement de PV sur les 5 prochaines années.</t>
  </si>
  <si>
    <t>4.O.3</t>
  </si>
  <si>
    <t xml:space="preserve">•Phase d’identification du PLAGE finie. </t>
  </si>
  <si>
    <t>4.O.4</t>
  </si>
  <si>
    <t>•Elaboration des PEB prennent beaucoup de temps pour pas beaucoup de valeur : marché groupé ?</t>
  </si>
  <si>
    <t>4.O.5</t>
  </si>
  <si>
    <t>•Audit énergétique sur le bâtiment de l’école de Aurore prévu pour cette année</t>
  </si>
  <si>
    <t>4.O.6</t>
  </si>
  <si>
    <t>•La formalisation des incitations serait intéressant</t>
  </si>
  <si>
    <t>4.O.7</t>
  </si>
  <si>
    <t>•Ecrire des articles sur le site web ou dans Jette info pour régler le problème des demandes de régularisation</t>
  </si>
  <si>
    <t>4.O.8</t>
  </si>
  <si>
    <t>Service du patrimoine communal des nettoyages des batiments</t>
  </si>
  <si>
    <r>
      <t>•</t>
    </r>
    <r>
      <rPr>
        <sz val="12"/>
        <color theme="1"/>
        <rFont val="Calibri"/>
        <family val="2"/>
        <scheme val="minor"/>
      </rPr>
      <t>Pour le catering et l’alimentation : plus de services/vaisselle en plastique</t>
    </r>
  </si>
  <si>
    <r>
      <t>•</t>
    </r>
    <r>
      <rPr>
        <sz val="12"/>
        <color theme="1"/>
        <rFont val="Calibri"/>
        <family val="2"/>
        <scheme val="minor"/>
      </rPr>
      <t>Clarté : les élèves ne peuvent pas amener de déchet à l’école : gourde, boite à tartine et fruits. Les conteneurs tout venant ont donc diminué de 2/3</t>
    </r>
  </si>
  <si>
    <t>6.A.2</t>
  </si>
  <si>
    <r>
      <t>•</t>
    </r>
    <r>
      <rPr>
        <sz val="12"/>
        <color theme="1"/>
        <rFont val="Calibri"/>
        <family val="2"/>
        <scheme val="minor"/>
      </rPr>
      <t xml:space="preserve">Concept 0 déchet dans plusieurs écoles </t>
    </r>
  </si>
  <si>
    <t>6.A.3</t>
  </si>
  <si>
    <t>Service Développement durable - Environnement</t>
  </si>
  <si>
    <r>
      <t>•</t>
    </r>
    <r>
      <rPr>
        <sz val="12"/>
        <color theme="1"/>
        <rFont val="Calibri"/>
        <family val="2"/>
        <scheme val="minor"/>
      </rPr>
      <t>Label Ecodynamique 3 étoiles obtenu (distribution de tasses, tri des déchets, placement de compost…)</t>
    </r>
  </si>
  <si>
    <r>
      <t>•</t>
    </r>
    <r>
      <rPr>
        <sz val="12"/>
        <color theme="1"/>
        <rFont val="Calibri"/>
        <family val="2"/>
        <scheme val="minor"/>
      </rPr>
      <t>Formation des employés à la gestion et au tri des déchets, donnée par le service Développement durable et Ombudsman</t>
    </r>
  </si>
  <si>
    <t>6.A.5</t>
  </si>
  <si>
    <r>
      <t>•</t>
    </r>
    <r>
      <rPr>
        <sz val="12"/>
        <color theme="1"/>
        <rFont val="Calibri"/>
        <family val="2"/>
        <scheme val="minor"/>
      </rPr>
      <t>Actions avec les jettois sur les déchets, l’alimentation durable, etc.</t>
    </r>
  </si>
  <si>
    <t>6.A.6</t>
  </si>
  <si>
    <r>
      <t>•</t>
    </r>
    <r>
      <rPr>
        <sz val="12"/>
        <color theme="1"/>
        <rFont val="Calibri"/>
        <family val="2"/>
        <scheme val="minor"/>
      </rPr>
      <t>Utilisation de produits alternatifs (vinaigre, etc.) (mais avec la crise sanitaire : obligation d’utiliser de l’eau de javel)</t>
    </r>
  </si>
  <si>
    <t>6.M.1</t>
  </si>
  <si>
    <r>
      <t>•</t>
    </r>
    <r>
      <rPr>
        <sz val="12"/>
        <color theme="1"/>
        <rFont val="Calibri"/>
        <family val="2"/>
        <scheme val="minor"/>
      </rPr>
      <t>Plan sur 3 ans visant le « 0 déchet » dirigé par le service durabilité (mesure via le nombre de conteneurs en collaboration avec le service Propreté Publique</t>
    </r>
  </si>
  <si>
    <r>
      <t>•</t>
    </r>
    <r>
      <rPr>
        <sz val="12"/>
        <color theme="1"/>
        <rFont val="Calibri"/>
        <family val="2"/>
        <scheme val="minor"/>
      </rPr>
      <t>Mise en place d’ilots de tri dans la Commune</t>
    </r>
  </si>
  <si>
    <t>6.O.2</t>
  </si>
  <si>
    <r>
      <t>•</t>
    </r>
    <r>
      <rPr>
        <sz val="12"/>
        <color theme="1"/>
        <rFont val="Calibri"/>
        <family val="2"/>
        <scheme val="minor"/>
      </rPr>
      <t>En projet : événements zéro déchets organisés par la commune et les comités de quartier</t>
    </r>
  </si>
  <si>
    <r>
      <t>•</t>
    </r>
    <r>
      <rPr>
        <sz val="12"/>
        <color theme="1"/>
        <rFont val="Calibri"/>
        <family val="2"/>
        <scheme val="minor"/>
      </rPr>
      <t>Sensibilisations aux commerces (Commerces partenaires No Impact Jette,...)</t>
    </r>
  </si>
  <si>
    <t>6.O.4</t>
  </si>
  <si>
    <r>
      <t>•</t>
    </r>
    <r>
      <rPr>
        <sz val="12"/>
        <color theme="1"/>
        <rFont val="Calibri"/>
        <family val="2"/>
        <scheme val="minor"/>
      </rPr>
      <t>Verger, mare et plantes, ruche, poulailler, brebis, attraction d’oiseaux, attraction d’abeilles et de papillons via divers plantations</t>
    </r>
  </si>
  <si>
    <t>Service aménagement urbain</t>
  </si>
  <si>
    <r>
      <t>•</t>
    </r>
    <r>
      <rPr>
        <sz val="12"/>
        <color theme="1"/>
        <rFont val="Calibri"/>
        <family val="2"/>
        <scheme val="minor"/>
      </rPr>
      <t>Les abattages d’arbre ne sont acceptés que si l’arbre est malade. Par la suite, ils conseillent une nouvelle essence à replanter.</t>
    </r>
  </si>
  <si>
    <r>
      <t>•</t>
    </r>
    <r>
      <rPr>
        <sz val="12"/>
        <color theme="1"/>
        <rFont val="Calibri"/>
        <family val="2"/>
        <scheme val="minor"/>
      </rPr>
      <t>Prime communale pour les citernes d'eau de pluie et les fûts d'eau, prime communale pour une étude contre les inondations, prime pour un fûts compost, pour les chats domestique</t>
    </r>
  </si>
  <si>
    <t>1.A.3</t>
  </si>
  <si>
    <r>
      <t>•</t>
    </r>
    <r>
      <rPr>
        <sz val="12"/>
        <color theme="1"/>
        <rFont val="Calibri"/>
        <family val="2"/>
        <scheme val="minor"/>
      </rPr>
      <t>Sensibilisation à la biodiversité et activités au talus du Heymbosch</t>
    </r>
  </si>
  <si>
    <r>
      <t>•</t>
    </r>
    <r>
      <rPr>
        <sz val="12"/>
        <color theme="1"/>
        <rFont val="Calibri"/>
        <family val="2"/>
        <scheme val="minor"/>
      </rPr>
      <t>Grainothèque</t>
    </r>
  </si>
  <si>
    <t>1.A.5</t>
  </si>
  <si>
    <r>
      <t>•</t>
    </r>
    <r>
      <rPr>
        <sz val="12"/>
        <color theme="1"/>
        <rFont val="Calibri"/>
        <family val="2"/>
        <scheme val="minor"/>
      </rPr>
      <t>Gestion des demandes de plantes grimpantes pour les citoyens</t>
    </r>
  </si>
  <si>
    <r>
      <t>•</t>
    </r>
    <r>
      <rPr>
        <sz val="12"/>
        <color theme="1"/>
        <rFont val="Calibri"/>
        <family val="2"/>
        <scheme val="minor"/>
      </rPr>
      <t>Ruches communales</t>
    </r>
  </si>
  <si>
    <t>1.A.7</t>
  </si>
  <si>
    <r>
      <t>•</t>
    </r>
    <r>
      <rPr>
        <sz val="12"/>
        <color theme="1"/>
        <rFont val="Calibri"/>
        <family val="2"/>
        <scheme val="minor"/>
      </rPr>
      <t>organisation de campagnes de sensibilisations à la biodiversité (semaine de l'arbre, semaine de l'abeille, distribution de nichoirs, semaine sans pesticides,...</t>
    </r>
  </si>
  <si>
    <r>
      <t>•</t>
    </r>
    <r>
      <rPr>
        <sz val="12"/>
        <color theme="1"/>
        <rFont val="Calibri"/>
        <family val="2"/>
        <scheme val="minor"/>
      </rPr>
      <t>Soutien aux initiatives citoyennes en matière de biodiversité</t>
    </r>
  </si>
  <si>
    <r>
      <t>•</t>
    </r>
    <r>
      <rPr>
        <sz val="12"/>
        <color theme="1"/>
        <rFont val="Calibri"/>
        <family val="2"/>
        <scheme val="minor"/>
      </rPr>
      <t>Coordination de la note du maillage vert à Jette</t>
    </r>
  </si>
  <si>
    <t>1.O.2</t>
  </si>
  <si>
    <t>Charroi communal</t>
  </si>
  <si>
    <t>•De plus en plus de véhicules électriques sont achetés et sont rechargés grâce aux PV du bâtiment technique</t>
  </si>
  <si>
    <t>•La commune possède des 28 vélos dont 8 vélos électriques qui sont bien utilisés</t>
  </si>
  <si>
    <t>•Un objectif formel et quantifié est retenu au sein du service:
   •Réduction des émissions de CO2 de 30% d’ici 2030 (basé sur la norme EURO et les kilométrage)
   •Réduction du nombre de véhicules de 10% d’ici 2030
   •En 2019/2020 : réduction de 7 véhicules/15</t>
  </si>
  <si>
    <t>5.A.3</t>
  </si>
  <si>
    <t>•2020 : Cambio disponible pour le personnel + leasing des véhicules électriques</t>
  </si>
  <si>
    <r>
      <t>•</t>
    </r>
    <r>
      <rPr>
        <sz val="12"/>
        <color theme="1"/>
        <rFont val="Calibri"/>
        <family val="2"/>
        <scheme val="minor"/>
      </rPr>
      <t>2017 : un montant par mois était versé dans le salaire. La plupart des gens se déplaçaient avec leur véhicule privé. Mais dorénavant, de par l’obtention d’un abonnement STIB gratuit et les zones de stationnement payantes autour de la Commune, beaucoup moins.</t>
    </r>
  </si>
  <si>
    <t>5.A.5</t>
  </si>
  <si>
    <r>
      <t>•</t>
    </r>
    <r>
      <rPr>
        <sz val="12"/>
        <color theme="1"/>
        <rFont val="Calibri"/>
        <family val="2"/>
        <scheme val="minor"/>
      </rPr>
      <t>2018 : Abonnement STIB, interdiction de parquer les véhicules sur les zones communales et remboursement de tout déplacement en transport public</t>
    </r>
  </si>
  <si>
    <t>5.A.6</t>
  </si>
  <si>
    <r>
      <t>•</t>
    </r>
    <r>
      <rPr>
        <sz val="12"/>
        <color theme="1"/>
        <rFont val="Calibri"/>
        <family val="2"/>
        <scheme val="minor"/>
      </rPr>
      <t>Avantage de 24 centimes par km si on se déplace en vélo et de 15 centimes par km si on se déplace à pieds</t>
    </r>
  </si>
  <si>
    <t>5.A.7</t>
  </si>
  <si>
    <t>Service développement durable-Environnement/ Charroi communal</t>
  </si>
  <si>
    <r>
      <t xml:space="preserve"> •</t>
    </r>
    <r>
      <rPr>
        <sz val="12"/>
        <color theme="1"/>
        <rFont val="Calibri"/>
        <family val="2"/>
        <scheme val="minor"/>
      </rPr>
      <t xml:space="preserve"> Insertion de clauses environnementales dans les achats de véhicules</t>
    </r>
  </si>
  <si>
    <t>5.A.8</t>
  </si>
  <si>
    <t>Service mobilité</t>
  </si>
  <si>
    <r>
      <t>•</t>
    </r>
    <r>
      <rPr>
        <sz val="12"/>
        <color theme="1"/>
        <rFont val="Calibri"/>
        <family val="2"/>
        <scheme val="minor"/>
      </rPr>
      <t>Coaching des habitants d’une rue en chantier pour les guider vers l’utilisation de moyens de mobilité de manière gratuite.</t>
    </r>
  </si>
  <si>
    <t>5.A.9</t>
  </si>
  <si>
    <r>
      <t>•</t>
    </r>
    <r>
      <rPr>
        <sz val="12"/>
        <color theme="1"/>
        <rFont val="Calibri"/>
        <family val="2"/>
        <scheme val="minor"/>
      </rPr>
      <t>10 rues transformées en rues cyclables (décision du Collège : toutes les rues en sens interdit de moins de 6m doivent être transformées)</t>
    </r>
  </si>
  <si>
    <r>
      <t>•</t>
    </r>
    <r>
      <rPr>
        <sz val="12"/>
        <color theme="1"/>
        <rFont val="Calibri"/>
        <family val="2"/>
        <scheme val="minor"/>
      </rPr>
      <t>Placement de vélobox (11 cette année)</t>
    </r>
  </si>
  <si>
    <r>
      <t>•</t>
    </r>
    <r>
      <rPr>
        <sz val="12"/>
        <color rgb="FF595959"/>
        <rFont val="Calibri"/>
        <family val="2"/>
        <scheme val="minor"/>
      </rPr>
      <t xml:space="preserve">Déplacements en transport en commun et à pieds privilégiés </t>
    </r>
  </si>
  <si>
    <r>
      <t>•</t>
    </r>
    <r>
      <rPr>
        <sz val="12"/>
        <color rgb="FF595959"/>
        <rFont val="Calibri"/>
        <family val="2"/>
        <scheme val="minor"/>
      </rPr>
      <t>Aménagement d’une zone piétonne devant l’école Jacques Brel</t>
    </r>
  </si>
  <si>
    <t>5.A.13</t>
  </si>
  <si>
    <r>
      <t>•</t>
    </r>
    <r>
      <rPr>
        <sz val="12"/>
        <color rgb="FF595959"/>
        <rFont val="Calibri"/>
        <family val="2"/>
        <scheme val="minor"/>
      </rPr>
      <t>Apprentissage du vélo dès la maternelle dans l’école Vanhelmont</t>
    </r>
  </si>
  <si>
    <t>•La plupart des véhicules sont attribués et non mutualisés</t>
  </si>
  <si>
    <t>•Pas de logiciel de suivi des véhicules mis en place</t>
  </si>
  <si>
    <t>5.F.2</t>
  </si>
  <si>
    <r>
      <t>•</t>
    </r>
    <r>
      <rPr>
        <sz val="12"/>
        <color theme="1"/>
        <rFont val="Calibri"/>
        <family val="2"/>
        <scheme val="minor"/>
      </rPr>
      <t>Parking sous la Place du Miroir est mal utilisé; idem pour le parking de la Gare de Jette (négociation pour qu’il soit ouvert au public en soirée et en weekend)</t>
    </r>
  </si>
  <si>
    <t>5.M.1</t>
  </si>
  <si>
    <r>
      <t>•</t>
    </r>
    <r>
      <rPr>
        <sz val="12"/>
        <color theme="1"/>
        <rFont val="Calibri"/>
        <family val="2"/>
        <scheme val="minor"/>
      </rPr>
      <t>Abondance de camionnettes garées devant chez eux</t>
    </r>
  </si>
  <si>
    <t>•Plan de remplacement de tous les véhicules entre 2022 et 2025 (à finaliser)</t>
  </si>
  <si>
    <t>5.O.1</t>
  </si>
  <si>
    <t>•Projet d’intégrer les formations pour les triporteurs  ( à creuser)</t>
  </si>
  <si>
    <t>•Les formations d’éco conduite n’ont pas encore été considérées</t>
  </si>
  <si>
    <r>
      <t>•</t>
    </r>
    <r>
      <rPr>
        <sz val="12"/>
        <color theme="1"/>
        <rFont val="Calibri"/>
        <family val="2"/>
        <scheme val="minor"/>
      </rPr>
      <t>Télétravail: projet lancé avant le covid (30% du personnel est éligible, 2 jour par semaine)</t>
    </r>
  </si>
  <si>
    <t>5.O.4</t>
  </si>
  <si>
    <t>Déplacements domicile-travail/ Service RH</t>
  </si>
  <si>
    <r>
      <t>•</t>
    </r>
    <r>
      <rPr>
        <sz val="12"/>
        <color theme="1"/>
        <rFont val="Calibri"/>
        <family val="2"/>
        <scheme val="minor"/>
      </rPr>
      <t>Plus de 70% des employés engagés habitent en Région Bruxelloise</t>
    </r>
  </si>
  <si>
    <t>5.O.5</t>
  </si>
  <si>
    <r>
      <t>•</t>
    </r>
    <r>
      <rPr>
        <sz val="12"/>
        <color theme="1"/>
        <rFont val="Calibri"/>
        <family val="2"/>
        <scheme val="minor"/>
      </rPr>
      <t>Possibilité d’obtenir une prime pour les vélos</t>
    </r>
  </si>
  <si>
    <r>
      <t>•</t>
    </r>
    <r>
      <rPr>
        <sz val="12"/>
        <color theme="1"/>
        <rFont val="Calibri"/>
        <family val="2"/>
        <scheme val="minor"/>
      </rPr>
      <t>Challenges actuels : Plan Good Move (essai de diminuer le trafic de transit, PDE, Apaisement des zones, Zone 30</t>
    </r>
  </si>
  <si>
    <r>
      <t>•</t>
    </r>
    <r>
      <rPr>
        <sz val="12"/>
        <color theme="1"/>
        <rFont val="Calibri"/>
        <family val="2"/>
        <scheme val="minor"/>
      </rPr>
      <t>Organisation des journées sans voitures et Vollenbike</t>
    </r>
  </si>
  <si>
    <t>5.O.8</t>
  </si>
  <si>
    <r>
      <t>•</t>
    </r>
    <r>
      <rPr>
        <sz val="12"/>
        <color theme="1"/>
        <rFont val="Calibri"/>
        <family val="2"/>
        <scheme val="minor"/>
      </rPr>
      <t>Développement de rues scolaires, parkings sécurisés, évènement promotionnel grâce à des subventions de Bruxelles mobilité</t>
    </r>
  </si>
  <si>
    <r>
      <t>•</t>
    </r>
    <r>
      <rPr>
        <sz val="12"/>
        <color theme="1"/>
        <rFont val="Calibri"/>
        <family val="2"/>
        <scheme val="minor"/>
      </rPr>
      <t>Placement de point de voitures partagées</t>
    </r>
  </si>
  <si>
    <r>
      <t>•</t>
    </r>
    <r>
      <rPr>
        <sz val="12"/>
        <color theme="1"/>
        <rFont val="Calibri"/>
        <family val="2"/>
        <scheme val="minor"/>
      </rPr>
      <t>Cours d’apprentissage de conduite en vélo dans la circulation avec Provélo</t>
    </r>
  </si>
  <si>
    <t>5.O.11</t>
  </si>
  <si>
    <r>
      <t>•</t>
    </r>
    <r>
      <rPr>
        <sz val="12"/>
        <color theme="1"/>
        <rFont val="Calibri"/>
        <family val="2"/>
        <scheme val="minor"/>
      </rPr>
      <t>Subvention régionale pour les rangs scolaires</t>
    </r>
  </si>
  <si>
    <r>
      <t>•</t>
    </r>
    <r>
      <rPr>
        <sz val="12"/>
        <color theme="1"/>
        <rFont val="Calibri"/>
        <family val="2"/>
        <scheme val="minor"/>
      </rPr>
      <t>RER vélo à voté de Belgica et Simonis</t>
    </r>
  </si>
  <si>
    <r>
      <t>•</t>
    </r>
    <r>
      <rPr>
        <sz val="12"/>
        <color theme="1"/>
        <rFont val="Calibri"/>
        <family val="2"/>
        <scheme val="minor"/>
      </rPr>
      <t xml:space="preserve">Objectif de diminuer de 25.000 places, les disponibilités sur la commune de Bruxelles et Jette </t>
    </r>
  </si>
  <si>
    <r>
      <t>•</t>
    </r>
    <r>
      <rPr>
        <sz val="12"/>
        <color theme="1"/>
        <rFont val="Calibri"/>
        <family val="2"/>
        <scheme val="minor"/>
      </rPr>
      <t>Coalift : système de covoiturage pour amener les enfants à l’école</t>
    </r>
  </si>
  <si>
    <t>5.O.15</t>
  </si>
  <si>
    <t>Périmètre</t>
  </si>
  <si>
    <t>Secteurs</t>
  </si>
  <si>
    <t>Secteurs (Convention des Maires)</t>
  </si>
  <si>
    <t>Mesures du plan "We are the change"</t>
  </si>
  <si>
    <t>Mesures du starter pack d'une grande ville (FPC)</t>
  </si>
  <si>
    <t>Nouveau plan climat d'Anvers</t>
  </si>
  <si>
    <t>Plan Climat de la Ville de Gand</t>
  </si>
  <si>
    <t>Plan Climat de la Ville de Louvain</t>
  </si>
  <si>
    <t>Plan Climat de la Ville de Paris</t>
  </si>
  <si>
    <t xml:space="preserve">Plan Climat de la Ville de Copenhague </t>
  </si>
  <si>
    <t>Plan Climat de la Ville d'Amsterdam</t>
  </si>
  <si>
    <t>Plan Climat de la Ville de Aachen (Allemagne)</t>
  </si>
  <si>
    <t>Plan Climat de la Ville de Londres (Angleterre)</t>
  </si>
  <si>
    <t>Plan climat de la commune de Ixelles (Belgique)</t>
  </si>
  <si>
    <t>Plan climat de la commune de Uccle (Belgique)</t>
  </si>
  <si>
    <t>Plan climat de la commune de Maastricht (Netherlands)</t>
  </si>
  <si>
    <t>Population</t>
  </si>
  <si>
    <t>174k</t>
  </si>
  <si>
    <t>500k</t>
  </si>
  <si>
    <t>248k</t>
  </si>
  <si>
    <t>100k</t>
  </si>
  <si>
    <t>2,2 M</t>
  </si>
  <si>
    <t>602k</t>
  </si>
  <si>
    <t>779k</t>
  </si>
  <si>
    <t>260k</t>
  </si>
  <si>
    <t>8,9M</t>
  </si>
  <si>
    <t>Année d'adoption</t>
  </si>
  <si>
    <t>Atténuation</t>
  </si>
  <si>
    <t xml:space="preserve">Objectif de réduction </t>
  </si>
  <si>
    <t>-40% des émissions de gaz à effet de serre par rapport à 2008</t>
  </si>
  <si>
    <t>-44% des émissions réduites d'ici 2030, par rapport à 2005 pour une ville fictive de plus de 200.000 habitants</t>
  </si>
  <si>
    <t xml:space="preserve"> Réduire les émissions de 50 à 55% d'ici 2030 par rapport à 2005</t>
  </si>
  <si>
    <t xml:space="preserve"> Réduire les émissions en 50% vers 2030 et achever la neutralité carbone vers 2050</t>
  </si>
  <si>
    <t>Neutralité carbone vers 2030</t>
  </si>
  <si>
    <t xml:space="preserve"> Réduire les émissions de 75% entre 2004 et 2050. A court terme objectif de -25% vers 2020</t>
  </si>
  <si>
    <t>Neutralité carbone vers 2025</t>
  </si>
  <si>
    <t>Neutralité carbone vers 2050</t>
  </si>
  <si>
    <t>Réduire de 100% les emissions de Gaz à effets de serre</t>
  </si>
  <si>
    <t>- 2018-2022: 40% Co2e reduction- - - 2025: Local 0 emission Zone
- 2023-2027: 50% Co2 reduction
- 2030: 15% demand met by renewable and district energy
- 2028-2032: 50% Co2e reduction
- 2030: 1GW of solar PV installations
- 2050: 2GW of solar PV installations
- 2050 any other emissions offset
- 2050: Zero emissions from all transports and buildings</t>
  </si>
  <si>
    <t>2030: reduction du GHG sur le territoire de 55% et développement de solutions pour habituer ses habitants au conséquances du dérèglement climatique</t>
  </si>
  <si>
    <t>Electricité: -15% consomation éléctriqu 
- réduction de la température moyenne des batiments de 1 degrès (Combustion fossil et chauffage=80% émissions de consommations énergétiques de la commune)</t>
  </si>
  <si>
    <t xml:space="preserve">- Transports en commun gratuits
- amélioration de la qualitée de l'air
- Favoriser la consommation d'energies locales
- améliorer l'issolation des maisons et batiments, pour réduire la consommation ne energie et rendre les nouveaux batiments autonomes
- Interdire le plastoique à usage unique
- faire en sorte que la transition écologique permette aux personnes licenciés de retrouver un emploie
- informer la population sur les enjeux climatiques
remplacer les energies fossiles par des énergies plus vertes et renouvellables.
</t>
  </si>
  <si>
    <t>Scope 1 et 2</t>
  </si>
  <si>
    <t>Commune</t>
  </si>
  <si>
    <r>
      <rPr>
        <b/>
        <sz val="16"/>
        <color theme="5"/>
        <rFont val="Calibri"/>
        <family val="2"/>
        <scheme val="minor"/>
      </rPr>
      <t>BXLIGHT.</t>
    </r>
    <r>
      <rPr>
        <sz val="16"/>
        <color theme="5"/>
        <rFont val="Calibri"/>
        <family val="2"/>
        <scheme val="minor"/>
      </rPr>
      <t xml:space="preserve"> Installation de l'éclairage LED dans les voiries publiques</t>
    </r>
  </si>
  <si>
    <t>Réduction de l’éclairage public communal</t>
  </si>
  <si>
    <t>Anvers opte pour le 100% LED en 2030 .</t>
  </si>
  <si>
    <t xml:space="preserve">Éclairage public économe en énergie : renouveler l'éclairage vers la lumière LED </t>
  </si>
  <si>
    <t>La Ville de Paris entend poursuivre ses investissements pour atteindre au moins 50% d’économie d’énergie à 2030 et se servir des équipements d’éclairage public</t>
  </si>
  <si>
    <r>
      <t xml:space="preserve">La ville veut </t>
    </r>
    <r>
      <rPr>
        <b/>
        <sz val="16"/>
        <color theme="5"/>
        <rFont val="Calibri"/>
        <family val="2"/>
        <scheme val="minor"/>
      </rPr>
      <t xml:space="preserve">remplacer l'éclairage public </t>
    </r>
    <r>
      <rPr>
        <sz val="16"/>
        <color theme="5"/>
        <rFont val="Calibri"/>
        <family val="2"/>
        <scheme val="minor"/>
      </rPr>
      <t>dans sa entièreté</t>
    </r>
  </si>
  <si>
    <t>Une réduction progressive des éclairages de nuit dans les villes. La ville veut remplacer éclairages à décharge à vapeur de mercure. Dans la mesure du possible, tous les nouveaux éclairages installés en ville seront des LED.</t>
  </si>
  <si>
    <t>Bâtiments communaux</t>
  </si>
  <si>
    <r>
      <rPr>
        <b/>
        <sz val="16"/>
        <color theme="5"/>
        <rFont val="Calibri"/>
        <family val="2"/>
        <scheme val="minor"/>
      </rPr>
      <t>Construire Brucity</t>
    </r>
    <r>
      <rPr>
        <sz val="16"/>
        <color theme="5"/>
        <rFont val="Calibri"/>
        <family val="2"/>
        <scheme val="minor"/>
      </rPr>
      <t xml:space="preserve">. La Ville prévoit la construction d’un bâtiment moderne et durable. La performance énergétique du bâ- timent sera de type passive. </t>
    </r>
  </si>
  <si>
    <r>
      <t xml:space="preserve">La </t>
    </r>
    <r>
      <rPr>
        <b/>
        <sz val="16"/>
        <color theme="5"/>
        <rFont val="Calibri"/>
        <family val="2"/>
        <scheme val="minor"/>
      </rPr>
      <t xml:space="preserve">performance énergétique des bâtiments du patrimoine </t>
    </r>
    <r>
      <rPr>
        <sz val="16"/>
        <color theme="5"/>
        <rFont val="Calibri"/>
        <family val="2"/>
        <scheme val="minor"/>
      </rPr>
      <t xml:space="preserve">de la ville seront systématiquement améliorés grâce à un système structurel de la Cellule de Gestion de l'Energie (EBC) de AG VESPA. </t>
    </r>
  </si>
  <si>
    <r>
      <rPr>
        <b/>
        <sz val="16"/>
        <color theme="5"/>
        <rFont val="Calibri"/>
        <family val="2"/>
        <scheme val="minor"/>
      </rPr>
      <t>Plan de gestion énergétique</t>
    </r>
    <r>
      <rPr>
        <sz val="16"/>
        <color theme="5"/>
        <rFont val="Calibri"/>
        <family val="2"/>
        <scheme val="minor"/>
      </rPr>
      <t>. Une première analyse du portefeuille est faite pour définir un certain nombre de projets qui peuvent déjà être démarrés</t>
    </r>
  </si>
  <si>
    <t xml:space="preserve">À partir de 2020 les projets de constructions neuves de bâtiments municipaux soumis à la réglementation
thermique atteindront la passivité énergétique (label E+C-). </t>
  </si>
  <si>
    <r>
      <t xml:space="preserve">La ville veut continuer à </t>
    </r>
    <r>
      <rPr>
        <b/>
        <sz val="16"/>
        <color theme="5"/>
        <rFont val="Calibri"/>
        <family val="2"/>
        <scheme val="minor"/>
      </rPr>
      <t>suivre la consommation énergétique</t>
    </r>
    <r>
      <rPr>
        <sz val="16"/>
        <color theme="5"/>
        <rFont val="Calibri"/>
        <family val="2"/>
        <scheme val="minor"/>
      </rPr>
      <t xml:space="preserve"> des bâtiments communaux </t>
    </r>
  </si>
  <si>
    <r>
      <t xml:space="preserve">Approche </t>
    </r>
    <r>
      <rPr>
        <b/>
        <sz val="16"/>
        <color theme="5"/>
        <rFont val="Calibri"/>
        <family val="2"/>
        <scheme val="minor"/>
      </rPr>
      <t>d'accélération pour les bâtiments</t>
    </r>
    <r>
      <rPr>
        <sz val="16"/>
        <color theme="5"/>
        <rFont val="Calibri"/>
        <family val="2"/>
        <scheme val="minor"/>
      </rPr>
      <t xml:space="preserve"> sociaux et civiques climatiquement neutres</t>
    </r>
  </si>
  <si>
    <t>La piscine exterieure de Hangeweiher sera chauffé et aura du Biogas comme source d'énergie.</t>
  </si>
  <si>
    <t>Batiments autonomes et intelligents</t>
  </si>
  <si>
    <t>réduction de 1°c de la température moyenne des batiments de l'administration d'Uccle qui permettra de réduire les émissions de 7% soit 369 TeqCo2</t>
  </si>
  <si>
    <t>améliorer la performance nergétique des batiments</t>
  </si>
  <si>
    <t>Chauffe-eau solaires</t>
  </si>
  <si>
    <r>
      <rPr>
        <b/>
        <sz val="16"/>
        <color theme="5"/>
        <rFont val="Calibri"/>
        <family val="2"/>
        <scheme val="minor"/>
      </rPr>
      <t>Economiser et utiliser de l'énergie renouvelable dans les bâtiments urbains</t>
    </r>
    <r>
      <rPr>
        <sz val="16"/>
        <color theme="5"/>
        <rFont val="Calibri"/>
        <family val="2"/>
        <scheme val="minor"/>
      </rPr>
      <t xml:space="preserve"> : la ville s'est engagée dans une politique immobilière stratégique avec plusieurs actions telles que étudier la faisabilité de la conversion avant 2030 au gaz renouvelable</t>
    </r>
  </si>
  <si>
    <r>
      <t>Développer un</t>
    </r>
    <r>
      <rPr>
        <b/>
        <sz val="16"/>
        <color theme="5"/>
        <rFont val="Calibri"/>
        <family val="2"/>
        <scheme val="minor"/>
      </rPr>
      <t xml:space="preserve"> plan politique intégral pour le patrimoine</t>
    </r>
    <r>
      <rPr>
        <sz val="16"/>
        <color theme="5"/>
        <rFont val="Calibri"/>
        <family val="2"/>
        <scheme val="minor"/>
      </rPr>
      <t xml:space="preserve"> de la ville de Louvain. </t>
    </r>
  </si>
  <si>
    <t xml:space="preserve">Le Programme d’Investissement de la Mandature (PIM) 2020  s’inscrira dans la trajectoire de rénovation des équipements municipaux </t>
  </si>
  <si>
    <r>
      <rPr>
        <b/>
        <sz val="16"/>
        <color theme="5"/>
        <rFont val="Calibri"/>
        <family val="2"/>
        <scheme val="minor"/>
      </rPr>
      <t>Bâtiments écoénergétiques</t>
    </r>
    <r>
      <rPr>
        <sz val="16"/>
        <color theme="5"/>
        <rFont val="Calibri"/>
        <family val="2"/>
        <scheme val="minor"/>
      </rPr>
      <t>. Tous les mesures dont la durée de remboursement est inférieure à 10 ans à compter de l'étiquetage énergétique des bâtiments municipaux est en cours de mise en œuvre.</t>
    </r>
  </si>
  <si>
    <r>
      <t xml:space="preserve">Travailler vers le </t>
    </r>
    <r>
      <rPr>
        <b/>
        <sz val="16"/>
        <color theme="5"/>
        <rFont val="Calibri"/>
        <family val="2"/>
        <scheme val="minor"/>
      </rPr>
      <t xml:space="preserve">label énergétique A pour tous propriété municipale </t>
    </r>
    <r>
      <rPr>
        <sz val="16"/>
        <color theme="5"/>
        <rFont val="Calibri"/>
        <family val="2"/>
        <scheme val="minor"/>
      </rPr>
      <t>en 2030</t>
    </r>
  </si>
  <si>
    <t>Rénovation des batiments pour améliorer leur performance energétique.</t>
  </si>
  <si>
    <t>Construction: La moitié des emissions londoniennes viennent de la construction, transport sur la tamise et combustion de bois, c'est un des axes prinicipaux sur lesquelles la ville de Londres veut se battre afin d'améliorer la qualité de l'air en ville</t>
  </si>
  <si>
    <t>procédure de control afin de constanment vérifier la température des batiments et optimiser l'utilisation du chauffage.</t>
  </si>
  <si>
    <t>améliorer l'isolation des batiments</t>
  </si>
  <si>
    <t>Trajets domicile-travail plus durables</t>
  </si>
  <si>
    <t>Gestion verte durable, arbres futurs et verticaux des murs verts dans chaque district (adaptation)</t>
  </si>
  <si>
    <r>
      <t>Surveillance et optimisation des</t>
    </r>
    <r>
      <rPr>
        <b/>
        <sz val="16"/>
        <color theme="5"/>
        <rFont val="Calibri"/>
        <family val="2"/>
        <scheme val="minor"/>
      </rPr>
      <t xml:space="preserve"> systèmes de gestion des bâtiments </t>
    </r>
    <r>
      <rPr>
        <sz val="16"/>
        <color theme="5"/>
        <rFont val="Calibri"/>
        <family val="2"/>
        <scheme val="minor"/>
      </rPr>
      <t>dans les bâtiments de la ville</t>
    </r>
  </si>
  <si>
    <t>La Ville de Paris cherche à diversifier les sources de financement pour la rénovation de ses bâtiments.</t>
  </si>
  <si>
    <r>
      <t xml:space="preserve">L'administration municipale veut être à l'avant-garde et installera 30000 m2 de </t>
    </r>
    <r>
      <rPr>
        <b/>
        <sz val="16"/>
        <color theme="5"/>
        <rFont val="Calibri"/>
        <family val="2"/>
        <scheme val="minor"/>
      </rPr>
      <t>panneaux solaires</t>
    </r>
    <r>
      <rPr>
        <sz val="16"/>
        <color theme="5"/>
        <rFont val="Calibri"/>
        <family val="2"/>
        <scheme val="minor"/>
      </rPr>
      <t xml:space="preserve"> sur les nouvelles et constructions </t>
    </r>
  </si>
  <si>
    <r>
      <t xml:space="preserve">Mettre en œuvre des </t>
    </r>
    <r>
      <rPr>
        <b/>
        <sz val="16"/>
        <color theme="5"/>
        <rFont val="Calibri"/>
        <family val="2"/>
        <scheme val="minor"/>
      </rPr>
      <t>mesures d'économie d'énergie
bâtiments scolaires</t>
    </r>
  </si>
  <si>
    <t>construction de nouveaux batiments plus éco résponsables et ayant une meilleure isolation.</t>
  </si>
  <si>
    <t>Utiliser un paramètre positif de qualité de l'air afin que les nouveaux batiments construits aident à nettoyer l'air Londonien.</t>
  </si>
  <si>
    <t>reduction du ratio m2/employé de -15% dans les espaces de travail afin d'optimiser les espaces de chauffage.</t>
  </si>
  <si>
    <t>réduire la consommation d'éléctricité</t>
  </si>
  <si>
    <t>Isolation de toiture</t>
  </si>
  <si>
    <r>
      <t xml:space="preserve">Poursuivre une </t>
    </r>
    <r>
      <rPr>
        <b/>
        <sz val="16"/>
        <color theme="5"/>
        <rFont val="Calibri"/>
        <family val="2"/>
        <scheme val="minor"/>
      </rPr>
      <t>utilisation efficace de l'espace</t>
    </r>
  </si>
  <si>
    <t xml:space="preserve">En 2020, la Ville de Paris élaborera un Schéma Directeur de Performance Énergétique des Bâtiments Publics afin d’optimiser la gestion de son patrimoine. </t>
  </si>
  <si>
    <r>
      <rPr>
        <b/>
        <sz val="16"/>
        <color theme="5"/>
        <rFont val="Calibri"/>
        <family val="2"/>
        <scheme val="minor"/>
      </rPr>
      <t>Projets phares.</t>
    </r>
    <r>
      <rPr>
        <sz val="16"/>
        <color theme="5"/>
        <rFont val="Calibri"/>
        <family val="2"/>
        <scheme val="minor"/>
      </rPr>
      <t xml:space="preserve"> Construire des projets pilotes pour modernisation climatique et basse énergie </t>
    </r>
  </si>
  <si>
    <r>
      <t>Coopérer pour faire des</t>
    </r>
    <r>
      <rPr>
        <b/>
        <sz val="16"/>
        <color theme="5"/>
        <rFont val="Calibri"/>
        <family val="2"/>
        <scheme val="minor"/>
      </rPr>
      <t xml:space="preserve"> arts et de la culture bâtiments de la région plus durables</t>
    </r>
  </si>
  <si>
    <t>s'assurer que les batiments accueillants les personnes les plus vulnérables à la mauvaise qualité de l'air se trouvent dans des zones moins polluées. (écoles, hopitaux, maisons de retraite,...)</t>
  </si>
  <si>
    <t>Une consommation par m² occupés de 80kwh permettant une réduction complémentaire de 37% des émissions – soit 1946 TeqCO2</t>
  </si>
  <si>
    <t>rendre toutes les maisons de Maastricht neutre en emission carbone</t>
  </si>
  <si>
    <r>
      <t>Poursuite de l'</t>
    </r>
    <r>
      <rPr>
        <b/>
        <sz val="16"/>
        <color theme="5"/>
        <rFont val="Calibri"/>
        <family val="2"/>
        <scheme val="minor"/>
      </rPr>
      <t>expansion du système de télémétrie</t>
    </r>
  </si>
  <si>
    <t>La Ville de Paris déploiera sur le terrain 36 ambassadeurs de l’énergie d’ici 2020 pour agir sur son parc de bâtiments publics</t>
  </si>
  <si>
    <r>
      <t>Promouvoir des</t>
    </r>
    <r>
      <rPr>
        <b/>
        <sz val="16"/>
        <color rgb="FF00B0F0"/>
        <rFont val="Calibri"/>
        <family val="2"/>
        <scheme val="minor"/>
      </rPr>
      <t xml:space="preserve"> institutions de santé climatiquement neutres</t>
    </r>
    <r>
      <rPr>
        <sz val="16"/>
        <color rgb="FF00B0F0"/>
        <rFont val="Calibri"/>
        <family val="2"/>
        <scheme val="minor"/>
      </rPr>
      <t>: assistance en cas de besoin</t>
    </r>
  </si>
  <si>
    <r>
      <rPr>
        <b/>
        <sz val="16"/>
        <color theme="1"/>
        <rFont val="Calibri"/>
        <family val="2"/>
        <scheme val="minor"/>
      </rPr>
      <t xml:space="preserve">BXLIGHT. </t>
    </r>
    <r>
      <rPr>
        <sz val="16"/>
        <color theme="1"/>
        <rFont val="Calibri"/>
        <family val="2"/>
        <scheme val="minor"/>
      </rPr>
      <t>Installation de l'éclairage LED dans les bâtiments nouveaux et existantes</t>
    </r>
  </si>
  <si>
    <t>Amélioration de l'éclairage</t>
  </si>
  <si>
    <t>la Ville de Paris définira pour son propre patrimoine une stratégie de déploiement d’outils de gestion de réseaux intelligents</t>
  </si>
  <si>
    <t>Bâtiments</t>
  </si>
  <si>
    <t>Portes coulissantes</t>
  </si>
  <si>
    <r>
      <t xml:space="preserve">La ville veut renforcer le fonctionnement et l'impact de </t>
    </r>
    <r>
      <rPr>
        <b/>
        <sz val="16"/>
        <color theme="5"/>
        <rFont val="Calibri"/>
        <family val="2"/>
        <scheme val="minor"/>
      </rPr>
      <t>«Climat Active Together</t>
    </r>
    <r>
      <rPr>
        <sz val="16"/>
        <color theme="5"/>
        <rFont val="Calibri"/>
        <family val="2"/>
        <scheme val="minor"/>
      </rPr>
      <t>» (Samen Klimaatactief)</t>
    </r>
  </si>
  <si>
    <t>Coaching énergétique pour 400 entreprises et organisations</t>
  </si>
  <si>
    <t>La ville élabore une méthodologie pour les projets de développement urbain, mais aussi de plus en plus rendre les petits projets de construction plus durables selon une norme climatiquement neutre, basé sur un réflexe de construction circulaire</t>
  </si>
  <si>
    <t>Éco-rénovation du secteur tertiaire. La Ville de Paris établira un programme d’accompagnement des travaux de rénovation spécifique au petit tertiaire</t>
  </si>
  <si>
    <t>Développer une stratégie pour la consommation d'énergie dans le secteur de la construction</t>
  </si>
  <si>
    <t>Fournir des informations et une assistance via
la plateforme New Amsterdam Climate</t>
  </si>
  <si>
    <t>Réduction de la polution dans l'air. Patenariats afin de mesurer la pollution dans l'air</t>
  </si>
  <si>
    <t>Réduction de la contamination de l'air, projet 2050</t>
  </si>
  <si>
    <t>Compteurs d’énergie intelligents avec un retour direct sur la consommation</t>
  </si>
  <si>
    <r>
      <rPr>
        <b/>
        <sz val="16"/>
        <color theme="5"/>
        <rFont val="Calibri"/>
        <family val="2"/>
        <scheme val="minor"/>
      </rPr>
      <t>Rénovation obligatoire,</t>
    </r>
    <r>
      <rPr>
        <sz val="16"/>
        <color theme="5"/>
        <rFont val="Calibri"/>
        <family val="2"/>
        <scheme val="minor"/>
      </rPr>
      <t xml:space="preserve"> à partir de 2025, de tous grands bâtiments non résidentiels avec possibilité de chauffage ou de refroidissement an coordination avec la région flamande. </t>
    </r>
  </si>
  <si>
    <t xml:space="preserve">La ville offre un  accompagnement dans l'élaboration d'une stratégie à long terme pour la neutralité climatique des bâtiments d=entreprises et organisations avec une vaste portefeuille </t>
  </si>
  <si>
    <t>Dans la mesure du possible, nous imposons des exigences plus strictes en matière d'énergie, de démolition sélective ou matériaux et nous veillons à ce que les règlements généraux de construction soient modifiés</t>
  </si>
  <si>
    <t>Contrôle renforcé de la limitation d’éclairage nocturne des bâtiments tertiaires</t>
  </si>
  <si>
    <t>Développer et tester un modèle de financement pour la réalisation de économies d'énergie</t>
  </si>
  <si>
    <t>Offrez aux entreprises des analyses énergétiques et des conseils</t>
  </si>
  <si>
    <t>Dechets: d'ici 2026, aucun dechet biodégradable ou recyclable seront envoyés dans une décharge</t>
  </si>
  <si>
    <r>
      <t xml:space="preserve">Le </t>
    </r>
    <r>
      <rPr>
        <b/>
        <sz val="16"/>
        <color rgb="FF000000"/>
        <rFont val="Calibri"/>
        <family val="2"/>
        <scheme val="minor"/>
      </rPr>
      <t>Smart Building Consortium</t>
    </r>
    <r>
      <rPr>
        <sz val="16"/>
        <color rgb="FF000000"/>
        <rFont val="Calibri"/>
        <family val="2"/>
        <scheme val="minor"/>
      </rPr>
      <t xml:space="preserve"> travaillera avec la ville d'Anvers sous le dénominateur 'Rétrofit Buildings' pour développer bâtiments neutres en énergie. </t>
    </r>
  </si>
  <si>
    <t xml:space="preserve">Nouveaux parcs d'activités durables avec une stratégie soutenu par la ville </t>
  </si>
  <si>
    <t>Rendre les développements d'acteurs majeurs ou de groupes cibles spécifiques plus durables</t>
  </si>
  <si>
    <t>Développement de la filière professionnelle de la rénovation énergétique</t>
  </si>
  <si>
    <t>Travailler pour changer la législation vers un niveau supérieur d'efficacité énergétique</t>
  </si>
  <si>
    <t>Apporter un soutien aux secteurs d'activité et / ou parcs d'activités</t>
  </si>
  <si>
    <t>D'ici 2030, 65% des dechets municipaux de Londres seront recyclés.</t>
  </si>
  <si>
    <t>Ventilation équilibrée</t>
  </si>
  <si>
    <t>La ville veut soutenir Green Track, le réseau du secteur culturel</t>
  </si>
  <si>
    <t>La ville travaille avec d'autres partenaires sur des projets de développement de zones industrielles</t>
  </si>
  <si>
    <t>Financement de la rénovation énergétique</t>
  </si>
  <si>
    <t xml:space="preserve">Établir des méthodes et lignes directrices pour augmenter la modernisation d'usage d'énergie </t>
  </si>
  <si>
    <t>Poursuivre la subvention et le prêt existants schémas et explorez les options d'extension</t>
  </si>
  <si>
    <t>Infrastructures vertes: Londres veut être la première "National park city" ou plus de la moitié de sa superficie est de la végétation.</t>
  </si>
  <si>
    <t>Toitures blanches, réfléchissantes</t>
  </si>
  <si>
    <r>
      <t>La ville d'Anvers aspire à la</t>
    </r>
    <r>
      <rPr>
        <b/>
        <sz val="16"/>
        <color rgb="FF000000"/>
        <rFont val="Calibri"/>
        <family val="2"/>
        <scheme val="minor"/>
      </rPr>
      <t xml:space="preserve"> neutralité climatique dans le développement de nouvelles parcs d'activités</t>
    </r>
  </si>
  <si>
    <t>Subventions d'investissement pour les mesures d'économie d'énergie chez les entreprises</t>
  </si>
  <si>
    <t>Les nouveaux développements tels que Leuven North doivent être clairement climatiquement neutres.</t>
  </si>
  <si>
    <t>Des constructions neuves toujours plus performantes: Dès 2018, toute nouvelle construction à Paris devra viser une consommation réglementaire</t>
  </si>
  <si>
    <t>Établir des méthodes et cadre pour réduire l'écart
entre la consommation projeté et réelle</t>
  </si>
  <si>
    <t>Aider les entreprises avec le district approche de l'élimination progressive du gaz naturel</t>
  </si>
  <si>
    <t>Les espaces verts seront gérés afin d'être bénéfiques pour les habitants de Londres.</t>
  </si>
  <si>
    <t>Matériaux réfléchissants et/ou clairs</t>
  </si>
  <si>
    <r>
      <t xml:space="preserve">Faciliter les </t>
    </r>
    <r>
      <rPr>
        <b/>
        <sz val="16"/>
        <color rgb="FF000000"/>
        <rFont val="Calibri"/>
        <family val="2"/>
        <scheme val="minor"/>
      </rPr>
      <t>échanges de chaleur</t>
    </r>
    <r>
      <rPr>
        <sz val="16"/>
        <color rgb="FF000000"/>
        <rFont val="Calibri"/>
        <family val="2"/>
        <scheme val="minor"/>
      </rPr>
      <t xml:space="preserve"> entre les entreprises. La ville aide les entreprises à identifier des potentiels d'utilisation de chaleur résiduel. En cas positif, la Ville d'Anvers coopérera avec Fluvius pour faciliter ces échanges thermiques en installant les caloducs du domaine public.</t>
    </r>
  </si>
  <si>
    <t>Investissement respectueux du climat: Le gouvernement de la ville investit directement dans les entreprises par le biais de placements de retrait</t>
  </si>
  <si>
    <t>La ville travaille avec des partenaires et des coopératives énergétiques pour produire et maximiser les énergies renouvelables sur les parcs d'activités</t>
  </si>
  <si>
    <t>Une offre innovante de bâtiments
flexibles et réversibles: repenser les usages pour les adapter</t>
  </si>
  <si>
    <t>Développer, tester et implémenter un modèle pour réaliser
économies d'énergie dans les entreprises commerciales et de services</t>
  </si>
  <si>
    <t xml:space="preserve">Faire pression pour une législation plus ambitieuse </t>
  </si>
  <si>
    <t>pollution sonore, Londres veut augmenter le nombres d'espaces n'ayant aucune pollution sonore.</t>
  </si>
  <si>
    <t>Pompe à chaleur</t>
  </si>
  <si>
    <t>Port de la mer du Nord climatiquement neutre d'ici 2050</t>
  </si>
  <si>
    <t>Évolution du métier de gardien d’immeuble pour une meilleure
maîtrise des usages</t>
  </si>
  <si>
    <t>Diffusion du concept concernant le bâtiment l'intelligent</t>
  </si>
  <si>
    <t>Critères de durabilité plus stricts pour les nouvelles constructions</t>
  </si>
  <si>
    <t>avec le rechauffement climatique le maire de Londres veut s'assurer que dans le futur aucune ressource ne sera gaspillée tout en s'assurant que la ville ne de Londres ne manque de rien</t>
  </si>
  <si>
    <r>
      <rPr>
        <b/>
        <sz val="16"/>
        <color theme="1"/>
        <rFont val="Calibri"/>
        <family val="2"/>
        <scheme val="minor"/>
      </rPr>
      <t xml:space="preserve">Achat groupé d'énergie verte. </t>
    </r>
    <r>
      <rPr>
        <sz val="16"/>
        <color theme="1"/>
        <rFont val="Calibri"/>
        <family val="2"/>
        <scheme val="minor"/>
      </rPr>
      <t>La Ville met en place un achat groupé d'énergie (gaz et électricité) destiné aux professions libérales et petits commerces</t>
    </r>
  </si>
  <si>
    <t>Achat de 100% d'électricité verte</t>
  </si>
  <si>
    <r>
      <t xml:space="preserve">Energie coaching </t>
    </r>
    <r>
      <rPr>
        <b/>
        <sz val="16"/>
        <color theme="1"/>
        <rFont val="Calibri"/>
        <family val="2"/>
        <scheme val="minor"/>
      </rPr>
      <t xml:space="preserve">conseille et accompagne les entreprises </t>
    </r>
    <r>
      <rPr>
        <sz val="16"/>
        <color theme="1"/>
        <rFont val="Calibri"/>
        <family val="2"/>
        <scheme val="minor"/>
      </rPr>
      <t>et les organisations à prendre des mesures vers la neutralité climatique</t>
    </r>
  </si>
  <si>
    <t xml:space="preserve"> La Ville de Paris agira auprès des aménageurs, promoteurs et des opérateurs de la construction pour promouvoir les espaces communs et partagés</t>
  </si>
  <si>
    <t>Établissez une nouvelle politique de localisation pour centres de données</t>
  </si>
  <si>
    <t>Élaborer et mettre en œuvre une agenda des données vertes</t>
  </si>
  <si>
    <t>Vitrages plus isolants</t>
  </si>
  <si>
    <t>Chauffe-eau solaire</t>
  </si>
  <si>
    <r>
      <t xml:space="preserve">Le </t>
    </r>
    <r>
      <rPr>
        <b/>
        <sz val="16"/>
        <color rgb="FF000000"/>
        <rFont val="Calibri"/>
        <family val="2"/>
        <scheme val="minor"/>
      </rPr>
      <t>Plan spatial stratégique d'Anvers</t>
    </r>
    <r>
      <rPr>
        <sz val="16"/>
        <color rgb="FF000000"/>
        <rFont val="Calibri"/>
        <family val="2"/>
        <scheme val="minor"/>
      </rPr>
      <t xml:space="preserve"> met en perspectif la qualité résidentielle des logements</t>
    </r>
  </si>
  <si>
    <r>
      <t xml:space="preserve">The Power Plant a été établie comme un </t>
    </r>
    <r>
      <rPr>
        <b/>
        <sz val="16"/>
        <color theme="1"/>
        <rFont val="Calibri"/>
        <family val="2"/>
        <scheme val="minor"/>
      </rPr>
      <t>guichet unique pour donner des conseils sur les interventions écoénergétiques</t>
    </r>
    <r>
      <rPr>
        <sz val="16"/>
        <color theme="1"/>
        <rFont val="Calibri"/>
        <family val="2"/>
        <scheme val="minor"/>
      </rPr>
      <t xml:space="preserve"> dans les maisons dans le marché du logement privé.</t>
    </r>
  </si>
  <si>
    <t>La rénovation de 1 million de logements d’ici 2050</t>
  </si>
  <si>
    <t>Promouvoir le développement de technologie et solutions pour construire des nouveaux bâtiments à faible énergie consommation</t>
  </si>
  <si>
    <t>Stimuler en fournissant assistance: conseil et assistance pour les propriétaires</t>
  </si>
  <si>
    <t>former les propriétaires de maison et d'immeubles à faires les aménagements nécéssaires pour améliorer la performance énergétique de leur logement (pour eux ou leurs locataires)</t>
  </si>
  <si>
    <t>toutes les maionjs de Maastricht doivent être neutre ne emission de gas à effet de serre. pour cela il faut inciter les propriétaires à investitir dans des isolant et à poser des panneaux solaires sur les toitures.</t>
  </si>
  <si>
    <r>
      <t xml:space="preserve">La </t>
    </r>
    <r>
      <rPr>
        <b/>
        <sz val="16"/>
        <color rgb="FF000000"/>
        <rFont val="Calibri"/>
        <family val="2"/>
        <scheme val="minor"/>
      </rPr>
      <t>Maison Eco (EcoHuis)</t>
    </r>
    <r>
      <rPr>
        <sz val="16"/>
        <color rgb="FF000000"/>
        <rFont val="Calibri"/>
        <family val="2"/>
        <scheme val="minor"/>
      </rPr>
      <t xml:space="preserve">  recherche, conseille et sensibilise (collectif)rénovation, vie durable, production et utilisation d'énergies renouvelables</t>
    </r>
  </si>
  <si>
    <t>Sensibiliser et stimuler rénovations énergétiques</t>
  </si>
  <si>
    <t>Des financements innovants pour la rénovation énergétique</t>
  </si>
  <si>
    <t>Tous les bâtiments neufs construits dans Paris seront bas-carbone et à énergie positive.</t>
  </si>
  <si>
    <t>Régulation sécurisée de la chaleur et approvisionnement en eau domestique</t>
  </si>
  <si>
    <t>Passer des accords avec des propriétaires privés
et investisseurs institutionnels</t>
  </si>
  <si>
    <r>
      <t xml:space="preserve">La ville accorde une prime pour mener un </t>
    </r>
    <r>
      <rPr>
        <b/>
        <sz val="16"/>
        <color rgb="FF000000"/>
        <rFont val="Calibri"/>
        <family val="2"/>
        <scheme val="minor"/>
      </rPr>
      <t>étude de schéma directeur d'immeubles d'habitation</t>
    </r>
    <r>
      <rPr>
        <sz val="16"/>
        <color rgb="FF000000"/>
        <rFont val="Calibri"/>
        <family val="2"/>
        <scheme val="minor"/>
      </rPr>
      <t xml:space="preserve"> visant la rénovation collective de tours d'appartements</t>
    </r>
  </si>
  <si>
    <t>Soutenir les initiatives de rénovation collective</t>
  </si>
  <si>
    <t>Augmenter le taux de rénovation des immeubles d'habitation systématiquement</t>
  </si>
  <si>
    <t>Une réglementation à la hauteur des enjeux de la transition énergétique</t>
  </si>
  <si>
    <t>Établir des partenariats pour construire des projets de phares privés</t>
  </si>
  <si>
    <t>Organiser des achats collectifs</t>
  </si>
  <si>
    <t>Pompe à chaleur à la place d'une chaudière au gaz naturel</t>
  </si>
  <si>
    <r>
      <t xml:space="preserve">Grâce au Fonds d'économie d'énergie, la ville offre des </t>
    </r>
    <r>
      <rPr>
        <b/>
        <sz val="16"/>
        <color rgb="FF000000"/>
        <rFont val="Calibri"/>
        <family val="2"/>
        <scheme val="minor"/>
      </rPr>
      <t>prêts de rénovation</t>
    </r>
    <r>
      <rPr>
        <sz val="16"/>
        <color rgb="FF000000"/>
        <rFont val="Calibri"/>
        <family val="2"/>
        <scheme val="minor"/>
      </rPr>
      <t>.</t>
    </r>
  </si>
  <si>
    <t>Dépistage de l'état énergétique des maisons</t>
  </si>
  <si>
    <t>Donner des conseils sur le logement durable aux les groupes cibles vulnérables</t>
  </si>
  <si>
    <t>Le parc des bailleurs sociaux au cœur d’un programme ambitieux de rénovation</t>
  </si>
  <si>
    <t>Déployer des coachs énergétiques</t>
  </si>
  <si>
    <r>
      <rPr>
        <b/>
        <sz val="16"/>
        <color rgb="FF000000"/>
        <rFont val="Calibri"/>
        <family val="2"/>
        <scheme val="minor"/>
      </rPr>
      <t xml:space="preserve">Le code du bâtiment </t>
    </r>
    <r>
      <rPr>
        <sz val="16"/>
        <color rgb="FF000000"/>
        <rFont val="Calibri"/>
        <family val="2"/>
        <scheme val="minor"/>
      </rPr>
      <t>contient des obligations et des lignes directrices qui s'appliquent lors de la construction d'une maison</t>
    </r>
  </si>
  <si>
    <t xml:space="preserve"> Rénover énergiquement des bâtiments clés</t>
  </si>
  <si>
    <t>Rénovations collectives (de quartier)</t>
  </si>
  <si>
    <t>Pour des copropriétés économes en énergie
et confortables en période estivale</t>
  </si>
  <si>
    <t>Étudiez les options d'économie d'énergie dans la législation et la réglementation</t>
  </si>
  <si>
    <t>Réduction de la consommation électrique grâce à des appareils plus économes</t>
  </si>
  <si>
    <r>
      <t xml:space="preserve">La ville veut explorer des options pour permettre le </t>
    </r>
    <r>
      <rPr>
        <b/>
        <sz val="16"/>
        <color rgb="FF000000"/>
        <rFont val="Calibri"/>
        <family val="2"/>
        <scheme val="minor"/>
      </rPr>
      <t>financement de tiers avec remboursement via la facture d'énergie</t>
    </r>
  </si>
  <si>
    <t>Un fonds climatique roulant effectue des rénovations énergétiques faisable pour plus de Gentenaars</t>
  </si>
  <si>
    <t>La Ville de Paris établira un pacte territorial de lutte contre la précarité énergétique, en partenariat avec les acteurs du territoire, avec pour objectif de réduire la précarité énergétique
de 20%</t>
  </si>
  <si>
    <t>Isolation de toitures</t>
  </si>
  <si>
    <r>
      <t>La ville développe «</t>
    </r>
    <r>
      <rPr>
        <b/>
        <sz val="16"/>
        <color rgb="FF000000"/>
        <rFont val="Calibri"/>
        <family val="2"/>
        <scheme val="minor"/>
      </rPr>
      <t> </t>
    </r>
    <r>
      <rPr>
        <b/>
        <i/>
        <sz val="16"/>
        <color rgb="FF000000"/>
        <rFont val="Calibri"/>
        <family val="2"/>
        <scheme val="minor"/>
      </rPr>
      <t>Huurzorgbeheer</t>
    </r>
    <r>
      <rPr>
        <sz val="16"/>
        <color rgb="FF000000"/>
        <rFont val="Calibri"/>
        <family val="2"/>
        <scheme val="minor"/>
      </rPr>
      <t> » pour rénover des espaces vacants et les utiliser avec des groupes défavorisés</t>
    </r>
  </si>
  <si>
    <r>
      <rPr>
        <b/>
        <sz val="16"/>
        <color theme="1"/>
        <rFont val="Calibri"/>
        <family val="2"/>
        <scheme val="minor"/>
      </rPr>
      <t xml:space="preserve">Achat groupé d'énergie verte. </t>
    </r>
    <r>
      <rPr>
        <sz val="16"/>
        <color theme="1"/>
        <rFont val="Calibri"/>
        <family val="2"/>
        <scheme val="minor"/>
      </rPr>
      <t>La Ville met en place un achat groupé d'énergie (gaz et électricité) destiné aux particuliers</t>
    </r>
  </si>
  <si>
    <t>Achat de 100% d’électricité verte</t>
  </si>
  <si>
    <r>
      <t>La ville rénover et construit des</t>
    </r>
    <r>
      <rPr>
        <b/>
        <sz val="16"/>
        <color theme="1"/>
        <rFont val="Calibri"/>
        <family val="2"/>
        <scheme val="minor"/>
      </rPr>
      <t xml:space="preserve"> bâtiments exemplaires</t>
    </r>
  </si>
  <si>
    <t>Isolation des façades</t>
  </si>
  <si>
    <t>Isolation des sols</t>
  </si>
  <si>
    <t>Transport</t>
  </si>
  <si>
    <t>Transport public</t>
  </si>
  <si>
    <t>Transition modale vers les transports en commun (sans train)</t>
  </si>
  <si>
    <r>
      <t>La ville a l'ambition de construire des</t>
    </r>
    <r>
      <rPr>
        <b/>
        <sz val="16"/>
        <color rgb="FF000000"/>
        <rFont val="Calibri"/>
        <family val="2"/>
        <scheme val="minor"/>
      </rPr>
      <t xml:space="preserve"> infrastructures de tramway supplémentaires</t>
    </r>
    <r>
      <rPr>
        <sz val="16"/>
        <color rgb="FF000000"/>
        <rFont val="Calibri"/>
        <family val="2"/>
        <scheme val="minor"/>
      </rPr>
      <t xml:space="preserve">. </t>
    </r>
  </si>
  <si>
    <r>
      <t>Plus de</t>
    </r>
    <r>
      <rPr>
        <b/>
        <sz val="16"/>
        <color theme="1"/>
        <rFont val="Calibri"/>
        <family val="2"/>
        <scheme val="minor"/>
      </rPr>
      <t xml:space="preserve"> trajets en transports en commun</t>
    </r>
    <r>
      <rPr>
        <sz val="16"/>
        <color theme="1"/>
        <rFont val="Calibri"/>
        <family val="2"/>
        <scheme val="minor"/>
      </rPr>
      <t xml:space="preserve"> : avec des actions telles qu'une navette de bus autonome ou des campagnes de communication sur les transports publics</t>
    </r>
  </si>
  <si>
    <t>Vers un titre de mobilité unique</t>
  </si>
  <si>
    <r>
      <rPr>
        <b/>
        <sz val="16"/>
        <color theme="1"/>
        <rFont val="Calibri"/>
        <family val="2"/>
        <scheme val="minor"/>
      </rPr>
      <t>Transport public neutre en carbone</t>
    </r>
    <r>
      <rPr>
        <sz val="16"/>
        <color theme="1"/>
        <rFont val="Calibri"/>
        <family val="2"/>
        <scheme val="minor"/>
      </rPr>
      <t xml:space="preserve"> : essais des bus alimentés à l'électricité, augmenter l'utilisation des biocarburants, poursuivre l'amélioration du système de transport public par la mise en œuvre de City Net 2018</t>
    </r>
  </si>
  <si>
    <t>Création des trajets plus verts et actifs, y compris la création d'un espace pour les transports publics</t>
  </si>
  <si>
    <t>developement d'une carte intélligente pour rodinateur afin de rendre l'achat de tickets pour les transports en communs simple.</t>
  </si>
  <si>
    <t>des transports publiques à 0 emissions utilisation d'energies vertes</t>
  </si>
  <si>
    <t>rendre les transports en commun gratuits pour les habitants de Maastricht</t>
  </si>
  <si>
    <t>Bus électriques</t>
  </si>
  <si>
    <r>
      <t xml:space="preserve">La ville de Louvain utilise pour elle des </t>
    </r>
    <r>
      <rPr>
        <b/>
        <sz val="16"/>
        <color theme="1"/>
        <rFont val="Calibri"/>
        <family val="2"/>
        <scheme val="minor"/>
      </rPr>
      <t>navettes de bus 100% électriques</t>
    </r>
  </si>
  <si>
    <r>
      <t>Des</t>
    </r>
    <r>
      <rPr>
        <b/>
        <sz val="16"/>
        <color theme="1"/>
        <rFont val="Calibri"/>
        <family val="2"/>
        <scheme val="minor"/>
      </rPr>
      <t xml:space="preserve"> transports en commun décarbonés</t>
    </r>
    <r>
      <rPr>
        <sz val="16"/>
        <color theme="1"/>
        <rFont val="Calibri"/>
        <family val="2"/>
        <scheme val="minor"/>
      </rPr>
      <t xml:space="preserve"> :  financement
de projets structurants du réseau tels que le prolongement des lignes </t>
    </r>
  </si>
  <si>
    <r>
      <t xml:space="preserve">Tous les utilisateurs (bus, trains, voitures, vélos, piétons) ont </t>
    </r>
    <r>
      <rPr>
        <b/>
        <sz val="16"/>
        <color theme="1"/>
        <rFont val="Calibri"/>
        <family val="2"/>
        <scheme val="minor"/>
      </rPr>
      <t>accès à des informations en temps réel</t>
    </r>
    <r>
      <rPr>
        <sz val="16"/>
        <color theme="1"/>
        <rFont val="Calibri"/>
        <family val="2"/>
        <scheme val="minor"/>
      </rPr>
      <t xml:space="preserve"> sur leur trajet</t>
    </r>
  </si>
  <si>
    <t>Création de l'espace avec moins de trajets en voiture, y compris l'introduction d'un accès intelligent au centre-ville</t>
  </si>
  <si>
    <t>Lancement de tests pour trouver des solutions de partage de voiture et covoiturage</t>
  </si>
  <si>
    <t>au plus tard 2037: Tous les bus londoniens seront à 0 emissions (bus éléctriques?)</t>
  </si>
  <si>
    <t>améliorer l'accessibilité des zones rurales depuis le centre ville en rajoutant des arrets ou lancant de nouvelles lignes de transport en commun</t>
  </si>
  <si>
    <r>
      <t xml:space="preserve">Les </t>
    </r>
    <r>
      <rPr>
        <b/>
        <sz val="16"/>
        <color theme="1"/>
        <rFont val="Calibri"/>
        <family val="2"/>
        <scheme val="minor"/>
      </rPr>
      <t>temps de trajet en bus ont été réduits de 10% et la régularité a été améliorée</t>
    </r>
    <r>
      <rPr>
        <sz val="16"/>
        <color theme="1"/>
        <rFont val="Calibri"/>
        <family val="2"/>
        <scheme val="minor"/>
      </rPr>
      <t xml:space="preserve"> de 20% par rapport à 2011 avec des actions telles que : Suivi de la gestion du trafic, optimiser les systèmes de signalisation</t>
    </r>
  </si>
  <si>
    <t>Organisation intelligente des transports en ville, notamment en travaillant sur des alternatives à la propriété</t>
  </si>
  <si>
    <t>Construction d'une nouvelle station de train, la rénovation du réseau d'autobus (nouveaux itinéraires, lancement d'une ligne spéciale pour le campus universitaire,Bus electrique pour le centre ville. Amélioration de couverture du réseau de transport en commun vers les zones commerciales.</t>
  </si>
  <si>
    <t>Demonstrating technologies: change old means of transport (bus, taxi) by electric and zero emission substitutes</t>
  </si>
  <si>
    <t>obliger la mairie de Masstricht à arréter son plan de financement de l'aéroport de Maastricht. La Mairie compte investir 2 millions d'euros dans l'agrandissement de l'aéroport, alors que cet argent pourrati être utilisé pour développer réseau de transport en commun de la ville ainsi que réduire le prix moyen des trajets.</t>
  </si>
  <si>
    <r>
      <t xml:space="preserve">Mise en place d'un </t>
    </r>
    <r>
      <rPr>
        <b/>
        <sz val="16"/>
        <color theme="1"/>
        <rFont val="Calibri"/>
        <family val="2"/>
        <scheme val="minor"/>
      </rPr>
      <t>système de gestion partagée du trafic</t>
    </r>
    <r>
      <rPr>
        <sz val="16"/>
        <color theme="1"/>
        <rFont val="Calibri"/>
        <family val="2"/>
        <scheme val="minor"/>
      </rPr>
      <t xml:space="preserve"> et d'informations routières</t>
    </r>
  </si>
  <si>
    <t>Developpement de lignes qui relient plusieurs pays.</t>
  </si>
  <si>
    <t>Transport privé</t>
  </si>
  <si>
    <r>
      <rPr>
        <b/>
        <sz val="16"/>
        <color theme="1"/>
        <rFont val="Calibri"/>
        <family val="2"/>
        <scheme val="minor"/>
      </rPr>
      <t>Sur le pave.</t>
    </r>
    <r>
      <rPr>
        <sz val="16"/>
        <color theme="1"/>
        <rFont val="Calibri"/>
        <family val="2"/>
        <scheme val="minor"/>
      </rPr>
      <t xml:space="preserve"> La Ville souhaite prévoir des aménagements adéquats pour répondre aux exigences régionales pour (ré)aménager les voiries et les rendre accessibles aux PMR (Personnes à Mobil- ité Réduite) </t>
    </r>
  </si>
  <si>
    <r>
      <rPr>
        <b/>
        <sz val="16"/>
        <color rgb="FF000000"/>
        <rFont val="Calibri"/>
        <family val="2"/>
        <scheme val="minor"/>
      </rPr>
      <t>La Grande Connexion</t>
    </r>
    <r>
      <rPr>
        <sz val="16"/>
        <color rgb="FF000000"/>
        <rFont val="Calibri"/>
        <family val="2"/>
        <scheme val="minor"/>
      </rPr>
      <t xml:space="preserve"> (The Great Connection) est un projet pour améliorer l'habitabilité d'Anvers et banlieue. Un transfert modal vers 50/50 est prévu. </t>
    </r>
  </si>
  <si>
    <r>
      <rPr>
        <b/>
        <sz val="16"/>
        <color theme="1"/>
        <rFont val="Calibri"/>
        <family val="2"/>
        <scheme val="minor"/>
      </rPr>
      <t>Répartition modale vers le vélo, à pied ou en transports</t>
    </r>
    <r>
      <rPr>
        <sz val="16"/>
        <color theme="1"/>
        <rFont val="Calibri"/>
        <family val="2"/>
        <scheme val="minor"/>
      </rPr>
      <t xml:space="preserve"> publiques avec différents actions : 1) développements spatiaux sur les carrefours des axes cyclables, 2) maintenir l'infrastructure cycliste et piétonne, 3) offre suffisant des transports publics, des itinéraires et des arrêts qualitatifs et accessibles pour les transports collectifs, 4) plans de mobilité de quartier dans 7 quartiers sélectionnés. </t>
    </r>
  </si>
  <si>
    <r>
      <rPr>
        <b/>
        <sz val="16"/>
        <color theme="1"/>
        <rFont val="Calibri"/>
        <family val="2"/>
        <scheme val="minor"/>
      </rPr>
      <t>Plan de mobilité régional</t>
    </r>
    <r>
      <rPr>
        <sz val="16"/>
        <color theme="1"/>
        <rFont val="Calibri"/>
        <family val="2"/>
        <scheme val="minor"/>
      </rPr>
      <t xml:space="preserve"> Région de transport Louvain</t>
    </r>
  </si>
  <si>
    <t>Zone à Circulation Restreinte (ZCR) métropolitaine</t>
  </si>
  <si>
    <r>
      <t>Développer les</t>
    </r>
    <r>
      <rPr>
        <b/>
        <sz val="16"/>
        <color theme="1"/>
        <rFont val="Calibri"/>
        <family val="2"/>
        <scheme val="minor"/>
      </rPr>
      <t xml:space="preserve"> liaisons cyclables </t>
    </r>
    <r>
      <rPr>
        <sz val="16"/>
        <color theme="1"/>
        <rFont val="Calibri"/>
        <family val="2"/>
        <scheme val="minor"/>
      </rPr>
      <t>vers et de Copenhague</t>
    </r>
  </si>
  <si>
    <r>
      <rPr>
        <b/>
        <sz val="16"/>
        <color theme="1"/>
        <rFont val="Calibri"/>
        <family val="2"/>
        <scheme val="minor"/>
      </rPr>
      <t>Stimuler le cyclisme</t>
    </r>
    <r>
      <rPr>
        <sz val="16"/>
        <color theme="1"/>
        <rFont val="Calibri"/>
        <family val="2"/>
        <scheme val="minor"/>
      </rPr>
      <t xml:space="preserve"> : réseaux cyclables confortables,
parking à vélos pratiques et nouveaux normes de  cyclisme</t>
    </r>
  </si>
  <si>
    <t xml:space="preserve">Encourager le cyclisme: renovation des aménagements pour vélos (route, signalisation, parking pour vélo dans toutes les gares et devant toutes les administrations, augmentation du parc de vélo à disposition de la ville...) </t>
  </si>
  <si>
    <t>réduction de l'utilisation de la voiture. basculer vers des carburants plus verts.</t>
  </si>
  <si>
    <t>Utilisation du co-voiturage par 25% des agents communaux pour se rendre sur
leur lieu de travail. Réduction des émissions de 13% - soit 250 TeqCO2</t>
  </si>
  <si>
    <r>
      <rPr>
        <b/>
        <sz val="16"/>
        <color theme="1"/>
        <rFont val="Calibri"/>
        <family val="2"/>
        <scheme val="minor"/>
      </rPr>
      <t xml:space="preserve">Un guichet électronique au service de la planète. </t>
    </r>
    <r>
      <rPr>
        <sz val="16"/>
        <color theme="1"/>
        <rFont val="Calibri"/>
        <family val="2"/>
        <scheme val="minor"/>
      </rPr>
      <t>Guichet électronique permettant de mener des démarches administratives de manière électronique</t>
    </r>
  </si>
  <si>
    <t>Zone à circulation restreinte</t>
  </si>
  <si>
    <r>
      <rPr>
        <b/>
        <sz val="16"/>
        <color rgb="FF000000"/>
        <rFont val="Calibri"/>
        <family val="2"/>
        <scheme val="minor"/>
      </rPr>
      <t>La ville investi dans les infrastructures cyclistes</t>
    </r>
    <r>
      <rPr>
        <sz val="16"/>
        <color rgb="FF000000"/>
        <rFont val="Calibri"/>
        <family val="2"/>
        <scheme val="minor"/>
      </rPr>
      <t>, visant de commencer avec des différents points de connexion (connexion Oosterweel, connexion des berges de l'Escaut et la route du port)</t>
    </r>
  </si>
  <si>
    <r>
      <rPr>
        <b/>
        <sz val="16"/>
        <color theme="1"/>
        <rFont val="Calibri"/>
        <family val="2"/>
        <scheme val="minor"/>
      </rPr>
      <t>Mobilité électrique</t>
    </r>
    <r>
      <rPr>
        <sz val="16"/>
        <color theme="1"/>
        <rFont val="Calibri"/>
        <family val="2"/>
        <scheme val="minor"/>
      </rPr>
      <t xml:space="preserve"> (partielle) :  transition vers la mobilité électrique et mobilité partagée</t>
    </r>
  </si>
  <si>
    <r>
      <rPr>
        <b/>
        <sz val="16"/>
        <color theme="1"/>
        <rFont val="Calibri"/>
        <family val="2"/>
        <scheme val="minor"/>
      </rPr>
      <t xml:space="preserve">Encourager une ville cyclable </t>
    </r>
    <r>
      <rPr>
        <sz val="16"/>
        <color theme="1"/>
        <rFont val="Calibri"/>
        <family val="2"/>
        <scheme val="minor"/>
      </rPr>
      <t xml:space="preserve">avec des différents actions telles que : extension de l'infrastructure cyclable, des autoroutes cyclables et des liaisons manquantes, des quartiers sans voiture, etc. </t>
    </r>
  </si>
  <si>
    <r>
      <t xml:space="preserve">Des </t>
    </r>
    <r>
      <rPr>
        <b/>
        <sz val="16"/>
        <color theme="1"/>
        <rFont val="Calibri"/>
        <family val="2"/>
        <scheme val="minor"/>
      </rPr>
      <t>mesures financières incitatives et d’accompagnement.</t>
    </r>
    <r>
      <rPr>
        <sz val="16"/>
        <color theme="1"/>
        <rFont val="Calibri"/>
        <family val="2"/>
        <scheme val="minor"/>
      </rPr>
      <t xml:space="preserve"> Actions concrètes comptent : aides destinées aux Parisiens renonçant à leurs véhicules anciens, étudier la possibilité d’une
différenciation du prix du stationnement en fonction de l’émissivité des véhicules.</t>
    </r>
  </si>
  <si>
    <r>
      <t xml:space="preserve">Développer des partenariats et une </t>
    </r>
    <r>
      <rPr>
        <b/>
        <sz val="16"/>
        <color theme="1"/>
        <rFont val="Calibri"/>
        <family val="2"/>
        <scheme val="minor"/>
      </rPr>
      <t>croissance verte pour le cyclisme</t>
    </r>
  </si>
  <si>
    <r>
      <rPr>
        <b/>
        <sz val="16"/>
        <color theme="1"/>
        <rFont val="Calibri"/>
        <family val="2"/>
        <scheme val="minor"/>
      </rPr>
      <t>Limiter le nombre de voitures dans la ville</t>
    </r>
    <r>
      <rPr>
        <sz val="16"/>
        <color theme="1"/>
        <rFont val="Calibri"/>
        <family val="2"/>
        <scheme val="minor"/>
      </rPr>
      <t xml:space="preserve"> : le plan d'action pour limiter les voitures en ville (Agenda Amsterdam Autoluw) souligne la création de plus d'espace pour les cyclistes,
les piétons et les transports publics, et plus d'espace pour les installations</t>
    </r>
  </si>
  <si>
    <t>Implémentation d'un agenda de mobilité pour limiter le traffique en ville en controllant les flux</t>
  </si>
  <si>
    <t>Lancement d'une zone de très basse émission carbone ou l'on interdit aux véhicules les plus polluants d'entrer dans Londres.</t>
  </si>
  <si>
    <t>réduire les véhicules et machines détenus par la Commune et d’en allonger la durée de vie. Réduction de 15% des émissions – soit 130 TeqCO2</t>
  </si>
  <si>
    <r>
      <rPr>
        <b/>
        <sz val="16"/>
        <color theme="1"/>
        <rFont val="Calibri"/>
        <family val="2"/>
        <scheme val="minor"/>
      </rPr>
      <t>Ma voiture je la partage.</t>
    </r>
    <r>
      <rPr>
        <sz val="16"/>
        <color theme="1"/>
        <rFont val="Calibri"/>
        <family val="2"/>
        <scheme val="minor"/>
      </rPr>
      <t xml:space="preserve"> Favoriser ce système passe nécessairement par la création d’une base de données et d’une carte répertoriant les lieux d’autopartage.</t>
    </r>
  </si>
  <si>
    <t>Regroupement du transport de marchandises</t>
  </si>
  <si>
    <r>
      <t xml:space="preserve">La ville investira dans des </t>
    </r>
    <r>
      <rPr>
        <b/>
        <sz val="16"/>
        <color rgb="FF000000"/>
        <rFont val="Calibri"/>
        <family val="2"/>
        <scheme val="minor"/>
      </rPr>
      <t>hubs multimodaux</t>
    </r>
    <r>
      <rPr>
        <sz val="16"/>
        <color rgb="FF000000"/>
        <rFont val="Calibri"/>
        <family val="2"/>
        <scheme val="minor"/>
      </rPr>
      <t> pour encourager les modes de transport durables</t>
    </r>
  </si>
  <si>
    <r>
      <t xml:space="preserve">Gand poursuit l'exploitation de Gent Evert en tant que </t>
    </r>
    <r>
      <rPr>
        <b/>
        <sz val="16"/>
        <color theme="1"/>
        <rFont val="Calibri"/>
        <family val="2"/>
        <scheme val="minor"/>
      </rPr>
      <t>plate-forme de soutien pour le transition vers une logistique urbaine efficace et durable</t>
    </r>
  </si>
  <si>
    <r>
      <t xml:space="preserve">Rendre le </t>
    </r>
    <r>
      <rPr>
        <b/>
        <sz val="16"/>
        <color theme="1"/>
        <rFont val="Calibri"/>
        <family val="2"/>
        <scheme val="minor"/>
      </rPr>
      <t>transport de marchandises à destination et en provenance de Louvain</t>
    </r>
    <r>
      <rPr>
        <sz val="16"/>
        <color theme="1"/>
        <rFont val="Calibri"/>
        <family val="2"/>
        <scheme val="minor"/>
      </rPr>
      <t xml:space="preserve"> plus durable avec des actions telles que: Plateforme de distribution urbaine «Leuven Levert»</t>
    </r>
  </si>
  <si>
    <r>
      <t xml:space="preserve">Inventer un </t>
    </r>
    <r>
      <rPr>
        <b/>
        <sz val="16"/>
        <color theme="1"/>
        <rFont val="Calibri"/>
        <family val="2"/>
        <scheme val="minor"/>
      </rPr>
      <t>nouveau rôle de régulation des mobilités par la donnée</t>
    </r>
    <r>
      <rPr>
        <sz val="16"/>
        <color theme="1"/>
        <rFont val="Calibri"/>
        <family val="2"/>
        <scheme val="minor"/>
      </rPr>
      <t xml:space="preserve">. La Ville soutiendra des solutions de partage des données qui permettront une régulation pour une gestion optimisée du transport. </t>
    </r>
  </si>
  <si>
    <r>
      <t xml:space="preserve">Utilisation accrue des </t>
    </r>
    <r>
      <rPr>
        <b/>
        <sz val="16"/>
        <color theme="1"/>
        <rFont val="Calibri"/>
        <family val="2"/>
        <scheme val="minor"/>
      </rPr>
      <t>vélos électriques</t>
    </r>
    <r>
      <rPr>
        <sz val="16"/>
        <color theme="1"/>
        <rFont val="Calibri"/>
        <family val="2"/>
        <scheme val="minor"/>
      </rPr>
      <t xml:space="preserve"> pour les longs trajets dans la région de Copenhague</t>
    </r>
  </si>
  <si>
    <r>
      <rPr>
        <b/>
        <sz val="16"/>
        <color theme="1"/>
        <rFont val="Calibri"/>
        <family val="2"/>
        <scheme val="minor"/>
      </rPr>
      <t>Organisation plus intelligente des transports</t>
    </r>
    <r>
      <rPr>
        <sz val="16"/>
        <color theme="1"/>
        <rFont val="Calibri"/>
        <family val="2"/>
        <scheme val="minor"/>
      </rPr>
      <t xml:space="preserve"> : dans le programme Smart Mobility, la municipalité développe un futur système de transport en partenariat avec résidents, visiteurs, parties publics et privés.</t>
    </r>
  </si>
  <si>
    <t>invest in more charging stations for electric vehicules</t>
  </si>
  <si>
    <r>
      <rPr>
        <b/>
        <sz val="16"/>
        <color theme="1"/>
        <rFont val="Calibri"/>
        <family val="2"/>
        <scheme val="minor"/>
      </rPr>
      <t xml:space="preserve">Toutes et tous en selle. </t>
    </r>
    <r>
      <rPr>
        <sz val="16"/>
        <color theme="1"/>
        <rFont val="Calibri"/>
        <family val="2"/>
        <scheme val="minor"/>
      </rPr>
      <t>La Ville souhaite amplifier le plan vélo existant dans le cadre du futur Plan Régional de Mobilité. Un autre programme visant la transition modale (vélo, marche): Mobilité scolaire active.</t>
    </r>
  </si>
  <si>
    <t>Base de données pour l’échange de services</t>
  </si>
  <si>
    <r>
      <t xml:space="preserve">La ville investi dans la </t>
    </r>
    <r>
      <rPr>
        <b/>
        <sz val="16"/>
        <color rgb="FF000000"/>
        <rFont val="Calibri"/>
        <family val="2"/>
        <scheme val="minor"/>
      </rPr>
      <t>sécurité routière</t>
    </r>
    <r>
      <rPr>
        <sz val="16"/>
        <color rgb="FF000000"/>
        <rFont val="Calibri"/>
        <family val="2"/>
        <scheme val="minor"/>
      </rPr>
      <t xml:space="preserve"> pour rendre le cyclisme plus attractif. Ceci est fait par le tracé des rues de l'école, les portes d'entrée zones 30 et mesures de réduction de la vitesse</t>
    </r>
  </si>
  <si>
    <r>
      <t xml:space="preserve">Plan d'action contre la </t>
    </r>
    <r>
      <rPr>
        <b/>
        <sz val="16"/>
        <color theme="1"/>
        <rFont val="Calibri"/>
        <family val="2"/>
        <scheme val="minor"/>
      </rPr>
      <t>pauvreté dans les transports</t>
    </r>
  </si>
  <si>
    <r>
      <t xml:space="preserve">Encourager la </t>
    </r>
    <r>
      <rPr>
        <b/>
        <sz val="16"/>
        <color theme="1"/>
        <rFont val="Calibri"/>
        <family val="2"/>
        <scheme val="minor"/>
      </rPr>
      <t xml:space="preserve">mobilité partagée </t>
    </r>
    <r>
      <rPr>
        <sz val="16"/>
        <color theme="1"/>
        <rFont val="Calibri"/>
        <family val="2"/>
        <scheme val="minor"/>
      </rPr>
      <t xml:space="preserve">avec des actions telles que: </t>
    </r>
    <r>
      <rPr>
        <b/>
        <sz val="16"/>
        <color theme="1"/>
        <rFont val="Calibri"/>
        <family val="2"/>
        <scheme val="minor"/>
      </rPr>
      <t xml:space="preserve"> </t>
    </r>
    <r>
      <rPr>
        <sz val="16"/>
        <color theme="1"/>
        <rFont val="Calibri"/>
        <family val="2"/>
        <scheme val="minor"/>
      </rPr>
      <t>Mettre à jour le plan de covoiturage</t>
    </r>
  </si>
  <si>
    <t>Préparer la transformation du boulevard périphérique</t>
  </si>
  <si>
    <r>
      <t xml:space="preserve">Développer un concept de conditions </t>
    </r>
    <r>
      <rPr>
        <b/>
        <sz val="16"/>
        <color theme="1"/>
        <rFont val="Calibri"/>
        <family val="2"/>
        <scheme val="minor"/>
      </rPr>
      <t xml:space="preserve">améliorées pour le cyclisme </t>
    </r>
    <r>
      <rPr>
        <sz val="16"/>
        <color theme="1"/>
        <rFont val="Calibri"/>
        <family val="2"/>
        <scheme val="minor"/>
      </rPr>
      <t>dans le but de promouvoir le cyclisme sur les lieux de travail.</t>
    </r>
  </si>
  <si>
    <t>Stimuler le covoiturage</t>
  </si>
  <si>
    <t>install at leats 15 hydrogen stations in and around London by 2023</t>
  </si>
  <si>
    <t>Transition technologique</t>
  </si>
  <si>
    <r>
      <t xml:space="preserve">Les </t>
    </r>
    <r>
      <rPr>
        <b/>
        <sz val="16"/>
        <color rgb="FF000000"/>
        <rFont val="Calibri"/>
        <family val="2"/>
        <scheme val="minor"/>
      </rPr>
      <t>grands parkings publics sécurisés pour vélos</t>
    </r>
    <r>
      <rPr>
        <sz val="16"/>
        <color rgb="FF000000"/>
        <rFont val="Calibri"/>
        <family val="2"/>
        <scheme val="minor"/>
      </rPr>
      <t xml:space="preserve"> ont pour but de rendre le cyclisme plus attractif. </t>
    </r>
  </si>
  <si>
    <r>
      <t xml:space="preserve">Encourager la </t>
    </r>
    <r>
      <rPr>
        <b/>
        <sz val="16"/>
        <color theme="1"/>
        <rFont val="Calibri"/>
        <family val="2"/>
        <scheme val="minor"/>
      </rPr>
      <t xml:space="preserve">Mobilité verte </t>
    </r>
    <r>
      <rPr>
        <sz val="16"/>
        <color theme="1"/>
        <rFont val="Calibri"/>
        <family val="2"/>
        <scheme val="minor"/>
      </rPr>
      <t xml:space="preserve">avec des différents actions : d'ici 2025, tous les parkings publics seront équipés de points de charge. il y aura au moins 100 bornes de recharge publiques à Louvain, introduction d'une zone à faibles émissions pour la région de Louvain, etc. </t>
    </r>
  </si>
  <si>
    <t>Offrir plus d’espace pour les piétons</t>
  </si>
  <si>
    <r>
      <rPr>
        <b/>
        <sz val="16"/>
        <color theme="1"/>
        <rFont val="Calibri"/>
        <family val="2"/>
        <scheme val="minor"/>
      </rPr>
      <t>Eco Driving</t>
    </r>
    <r>
      <rPr>
        <sz val="16"/>
        <color theme="1"/>
        <rFont val="Calibri"/>
        <family val="2"/>
        <scheme val="minor"/>
      </rPr>
      <t xml:space="preserve"> : organisez des cours pour informer les conducteurs sur la conduite correcte</t>
    </r>
  </si>
  <si>
    <t>Créer de l'espace en ayant moins de places de parking, y compris moins de permis de stationnement</t>
  </si>
  <si>
    <t>2030: all newly registered vehicules in London have to be 0 emission vehicules
2040: all new registered heavy vehicules driven in London, 0 emissions</t>
  </si>
  <si>
    <t>Moins de kilomètres inutiles</t>
  </si>
  <si>
    <r>
      <t xml:space="preserve">Le programme Smart to Antwerpen vise à </t>
    </r>
    <r>
      <rPr>
        <b/>
        <sz val="16"/>
        <color rgb="FF000000"/>
        <rFont val="Calibri"/>
        <family val="2"/>
        <scheme val="minor"/>
      </rPr>
      <t xml:space="preserve">apprendre sur les comportements de voyage </t>
    </r>
    <r>
      <rPr>
        <sz val="16"/>
        <color rgb="FF000000"/>
        <rFont val="Calibri"/>
        <family val="2"/>
        <scheme val="minor"/>
      </rPr>
      <t>via des enquêtes de mobilité biennales</t>
    </r>
  </si>
  <si>
    <t>Un trafic apaisé au service des mobilités actives</t>
  </si>
  <si>
    <r>
      <t>20 à 30% des véhicules légers (moins de 3,5 tonnes) sont alimentés à</t>
    </r>
    <r>
      <rPr>
        <b/>
        <sz val="16"/>
        <color theme="1"/>
        <rFont val="Calibri"/>
        <family val="2"/>
        <scheme val="minor"/>
      </rPr>
      <t xml:space="preserve"> l'électricité, au biogaz, au bioéthanol </t>
    </r>
    <r>
      <rPr>
        <sz val="16"/>
        <color theme="1"/>
        <rFont val="Calibri"/>
        <family val="2"/>
        <scheme val="minor"/>
      </rPr>
      <t>ou à l'hydrogène d'ici 2025</t>
    </r>
  </si>
  <si>
    <t>Utiliser les innovations technologiques, y compris le stationnement intelligent pour vélos</t>
  </si>
  <si>
    <t>Congestion charging schemes based on emissions</t>
  </si>
  <si>
    <t>Voitures partagées</t>
  </si>
  <si>
    <r>
      <t xml:space="preserve">La ville souhaite investir dans la mobilité intelligente ou la </t>
    </r>
    <r>
      <rPr>
        <b/>
        <sz val="16"/>
        <color rgb="FF000000"/>
        <rFont val="Calibri"/>
        <family val="2"/>
        <scheme val="minor"/>
      </rPr>
      <t>mobilité intelligente</t>
    </r>
  </si>
  <si>
    <r>
      <t xml:space="preserve">Des </t>
    </r>
    <r>
      <rPr>
        <b/>
        <sz val="16"/>
        <color theme="1"/>
        <rFont val="Calibri"/>
        <family val="2"/>
        <scheme val="minor"/>
      </rPr>
      <t>aménagements qui libèrent des déplacements contraints</t>
    </r>
    <r>
      <rPr>
        <sz val="16"/>
        <color theme="1"/>
        <rFont val="Calibri"/>
        <family val="2"/>
        <scheme val="minor"/>
      </rPr>
      <t>: le travail à distance, en complément d’une meilleure répartition des activités</t>
    </r>
  </si>
  <si>
    <r>
      <t xml:space="preserve">5 à 10 stations-service pour </t>
    </r>
    <r>
      <rPr>
        <b/>
        <sz val="16"/>
        <color theme="1"/>
        <rFont val="Calibri"/>
        <family val="2"/>
        <scheme val="minor"/>
      </rPr>
      <t>voitures électriques à hydrogène ont été installées</t>
    </r>
    <r>
      <rPr>
        <sz val="16"/>
        <color theme="1"/>
        <rFont val="Calibri"/>
        <family val="2"/>
        <scheme val="minor"/>
      </rPr>
      <t>, reflétant le développement du marché</t>
    </r>
  </si>
  <si>
    <t>Utilisation intelligente des nouvelles solutions de mobilité, y compris les hubs de quartier avec des véhicules électriques</t>
  </si>
  <si>
    <t>taxation to increase the incentive to use ultra low emission vehicules</t>
  </si>
  <si>
    <t>Transition modale</t>
  </si>
  <si>
    <r>
      <t xml:space="preserve">La ville facilite la mise à disposition des </t>
    </r>
    <r>
      <rPr>
        <b/>
        <sz val="16"/>
        <color rgb="FF000000"/>
        <rFont val="Calibri"/>
        <family val="2"/>
        <scheme val="minor"/>
      </rPr>
      <t>voitures partagées</t>
    </r>
  </si>
  <si>
    <r>
      <t xml:space="preserve">Vers des </t>
    </r>
    <r>
      <rPr>
        <b/>
        <sz val="16"/>
        <color theme="1"/>
        <rFont val="Calibri"/>
        <family val="2"/>
        <scheme val="minor"/>
      </rPr>
      <t>mobilités partagées</t>
    </r>
    <r>
      <rPr>
        <sz val="16"/>
        <color theme="1"/>
        <rFont val="Calibri"/>
        <family val="2"/>
        <scheme val="minor"/>
      </rPr>
      <t xml:space="preserve"> pour moins de voitures en ville</t>
    </r>
  </si>
  <si>
    <r>
      <t xml:space="preserve">30 à 40% des véhicules lourds à Copenhague sont propulsés par des </t>
    </r>
    <r>
      <rPr>
        <b/>
        <sz val="16"/>
        <color theme="1"/>
        <rFont val="Calibri"/>
        <family val="2"/>
        <scheme val="minor"/>
      </rPr>
      <t>biocarburants</t>
    </r>
  </si>
  <si>
    <t>Introduire des voitures particulières à zone environnementale (diesel)</t>
  </si>
  <si>
    <r>
      <t>La ville encouragera l'</t>
    </r>
    <r>
      <rPr>
        <b/>
        <sz val="16"/>
        <color rgb="FF000000"/>
        <rFont val="Calibri"/>
        <family val="2"/>
        <scheme val="minor"/>
      </rPr>
      <t>adoption de taxis comme alternative</t>
    </r>
    <r>
      <rPr>
        <sz val="16"/>
        <color rgb="FF000000"/>
        <rFont val="Calibri"/>
        <family val="2"/>
        <scheme val="minor"/>
      </rPr>
      <t xml:space="preserve"> de mouvement durable. Ceci sera fait par la délivrance de permis. </t>
    </r>
  </si>
  <si>
    <r>
      <t xml:space="preserve">Le </t>
    </r>
    <r>
      <rPr>
        <b/>
        <sz val="16"/>
        <color theme="1"/>
        <rFont val="Calibri"/>
        <family val="2"/>
        <scheme val="minor"/>
      </rPr>
      <t>vélo</t>
    </r>
    <r>
      <rPr>
        <sz val="16"/>
        <color theme="1"/>
        <rFont val="Calibri"/>
        <family val="2"/>
        <scheme val="minor"/>
      </rPr>
      <t xml:space="preserve"> au cœur de la vie des Parisiens</t>
    </r>
  </si>
  <si>
    <r>
      <t xml:space="preserve">Au moins 10% des déplacements des entreprises privées en camionnettes et véhicules lourds seront couverts par de </t>
    </r>
    <r>
      <rPr>
        <b/>
        <sz val="16"/>
        <color theme="1"/>
        <rFont val="Calibri"/>
        <family val="2"/>
        <scheme val="minor"/>
      </rPr>
      <t xml:space="preserve">nouveaux carburants </t>
    </r>
    <r>
      <rPr>
        <sz val="16"/>
        <color theme="1"/>
        <rFont val="Calibri"/>
        <family val="2"/>
        <scheme val="minor"/>
      </rPr>
      <t>d'ici 2025</t>
    </r>
  </si>
  <si>
    <t>Etudier le resserrement de la zone environnementale pour les camions en 2022</t>
  </si>
  <si>
    <r>
      <t>Avec</t>
    </r>
    <r>
      <rPr>
        <b/>
        <sz val="16"/>
        <color rgb="FF000000"/>
        <rFont val="Calibri"/>
        <family val="2"/>
        <scheme val="minor"/>
      </rPr>
      <t xml:space="preserve"> l'Urban Green Deal - logistiqu</t>
    </r>
    <r>
      <rPr>
        <sz val="16"/>
        <color rgb="FF000000"/>
        <rFont val="Calibri"/>
        <family val="2"/>
        <scheme val="minor"/>
      </rPr>
      <t>e la ville veut promouvoir des livraisons efficaces et sans émissions</t>
    </r>
  </si>
  <si>
    <r>
      <t xml:space="preserve">Un plan pour une </t>
    </r>
    <r>
      <rPr>
        <b/>
        <sz val="16"/>
        <color theme="1"/>
        <rFont val="Calibri"/>
        <family val="2"/>
        <scheme val="minor"/>
      </rPr>
      <t xml:space="preserve">logistique bas-carbone </t>
    </r>
    <r>
      <rPr>
        <sz val="16"/>
        <color theme="1"/>
        <rFont val="Calibri"/>
        <family val="2"/>
        <scheme val="minor"/>
      </rPr>
      <t>en Île-de-France</t>
    </r>
  </si>
  <si>
    <r>
      <t xml:space="preserve">Mettre en place un </t>
    </r>
    <r>
      <rPr>
        <b/>
        <sz val="16"/>
        <color theme="1"/>
        <rFont val="Calibri"/>
        <family val="2"/>
        <scheme val="minor"/>
      </rPr>
      <t>programme de mobilité</t>
    </r>
    <r>
      <rPr>
        <sz val="16"/>
        <color theme="1"/>
        <rFont val="Calibri"/>
        <family val="2"/>
        <scheme val="minor"/>
      </rPr>
      <t>. Le programme décrira les installations de transport vertes à divers groupes cibles et contribuera à modifier leurs habitudes de transport</t>
    </r>
  </si>
  <si>
    <t>Serrer les camions de livraison de la zone environnementale (diesel)</t>
  </si>
  <si>
    <r>
      <t xml:space="preserve">La ville, en coordination avec le port d'Anvers, veut continuer avec la réalisation d'un </t>
    </r>
    <r>
      <rPr>
        <b/>
        <sz val="16"/>
        <color rgb="FF000000"/>
        <rFont val="Calibri"/>
        <family val="2"/>
        <scheme val="minor"/>
      </rPr>
      <t>changement modal dans le transport de marchandises</t>
    </r>
    <r>
      <rPr>
        <sz val="16"/>
        <color rgb="FF000000"/>
        <rFont val="Calibri"/>
        <family val="2"/>
        <scheme val="minor"/>
      </rPr>
      <t xml:space="preserve">. Cela sera faite en prenant des activités de planification, coordination et intelligence. </t>
    </r>
  </si>
  <si>
    <r>
      <t xml:space="preserve">Un développement des </t>
    </r>
    <r>
      <rPr>
        <b/>
        <sz val="16"/>
        <color theme="1"/>
        <rFont val="Calibri"/>
        <family val="2"/>
        <scheme val="minor"/>
      </rPr>
      <t>véhicules autonomes</t>
    </r>
  </si>
  <si>
    <t>Expansion géographique de la zone environnementale</t>
  </si>
  <si>
    <r>
      <t xml:space="preserve">Anvers travaille sur un ambitieux </t>
    </r>
    <r>
      <rPr>
        <b/>
        <sz val="16"/>
        <color theme="1"/>
        <rFont val="Calibri"/>
        <family val="2"/>
        <scheme val="minor"/>
      </rPr>
      <t>plan de bornes de recharge .</t>
    </r>
  </si>
  <si>
    <r>
      <t xml:space="preserve">Pour des </t>
    </r>
    <r>
      <rPr>
        <b/>
        <sz val="16"/>
        <color theme="1"/>
        <rFont val="Calibri"/>
        <family val="2"/>
        <scheme val="minor"/>
      </rPr>
      <t>déplacements longues-distances moins carbonés</t>
    </r>
  </si>
  <si>
    <r>
      <t xml:space="preserve">Plus de </t>
    </r>
    <r>
      <rPr>
        <b/>
        <sz val="16"/>
        <color rgb="FF000000"/>
        <rFont val="Calibri"/>
        <family val="2"/>
        <scheme val="minor"/>
      </rPr>
      <t>filières pour approvisionner la ville en énergies propre</t>
    </r>
    <r>
      <rPr>
        <sz val="16"/>
        <color rgb="FF000000"/>
        <rFont val="Calibri"/>
        <family val="2"/>
        <scheme val="minor"/>
      </rPr>
      <t>s</t>
    </r>
  </si>
  <si>
    <t>Approcher activement les propriétaires de vieux véhicules diesel</t>
  </si>
  <si>
    <r>
      <t xml:space="preserve">Paris à l’ère de </t>
    </r>
    <r>
      <rPr>
        <b/>
        <sz val="16"/>
        <color rgb="FF000000"/>
        <rFont val="Calibri"/>
        <family val="2"/>
        <scheme val="minor"/>
      </rPr>
      <t>l’hydrogène</t>
    </r>
  </si>
  <si>
    <t>Passer des accords avec les entreprises et les institutions sur un transport en taxi 100% sans émissions</t>
  </si>
  <si>
    <r>
      <t>Des p</t>
    </r>
    <r>
      <rPr>
        <b/>
        <sz val="16"/>
        <color theme="1"/>
        <rFont val="Calibri"/>
        <family val="2"/>
        <scheme val="minor"/>
      </rPr>
      <t>lateformes de logistique multimodales</t>
    </r>
    <r>
      <rPr>
        <sz val="16"/>
        <color theme="1"/>
        <rFont val="Calibri"/>
        <family val="2"/>
        <scheme val="minor"/>
      </rPr>
      <t xml:space="preserve"> au cœur de la ville pour un fret bas-carbone</t>
    </r>
  </si>
  <si>
    <t>Signature d'un accord avec le secteur de la logistique</t>
  </si>
  <si>
    <r>
      <t xml:space="preserve">Un </t>
    </r>
    <r>
      <rPr>
        <b/>
        <sz val="16"/>
        <color theme="1"/>
        <rFont val="Calibri"/>
        <family val="2"/>
        <scheme val="minor"/>
      </rPr>
      <t>stationnement professionnel fluidifié</t>
    </r>
    <r>
      <rPr>
        <sz val="16"/>
        <color theme="1"/>
        <rFont val="Calibri"/>
        <family val="2"/>
        <scheme val="minor"/>
      </rPr>
      <t xml:space="preserve"> : la ville étude l’obligation de créer une place de stationnement dite « servicielle » pour livraisons et services</t>
    </r>
  </si>
  <si>
    <t>Construire une «coalition sans émissions» de partis dans la ville pour les entraîneurs</t>
  </si>
  <si>
    <r>
      <t>Une agglomération encourageant le</t>
    </r>
    <r>
      <rPr>
        <b/>
        <sz val="16"/>
        <color theme="1"/>
        <rFont val="Calibri"/>
        <family val="2"/>
        <scheme val="minor"/>
      </rPr>
      <t xml:space="preserve"> fret routier bas-carbone</t>
    </r>
  </si>
  <si>
    <t>Développer une stratégie de durabilité pour les ferries GVB</t>
  </si>
  <si>
    <t>Nouvelles exigences de durabilité pour les bateaux à passagers avec le nouveau système de permis</t>
  </si>
  <si>
    <t>Remplacement du transport municipal de passagers et de livraison par des véhicules électriques</t>
  </si>
  <si>
    <t>Focus sur la flotte municipale de HVO (biodiesel) pendant la période de transition</t>
  </si>
  <si>
    <t>Projet de vision sur la structure de charge des bornes de recharge publiques</t>
  </si>
  <si>
    <t>Déploiement stratégique et orienté vers la demande des bornes de recharge</t>
  </si>
  <si>
    <t>Rechercher la mise à l'échelle des hubs et des infrastructures de charge rapide pour la logistique</t>
  </si>
  <si>
    <t>Faciliter l'extension des bornes de recharge rapide publiques pour les taxis et autres</t>
  </si>
  <si>
    <t>Faciliter le déploiement des stations de ravitaillement en hydrogène</t>
  </si>
  <si>
    <t>Créer un site Web pour les bateaux de plaisance sans émissions</t>
  </si>
  <si>
    <t>Étudier la faisabilité d'un transport par eau sans émissions</t>
  </si>
  <si>
    <t>Déterminer les emplacements de recharge pour les ferries</t>
  </si>
  <si>
    <r>
      <t xml:space="preserve">Offres </t>
    </r>
    <r>
      <rPr>
        <b/>
        <sz val="16"/>
        <color theme="1"/>
        <rFont val="Calibri"/>
        <family val="2"/>
        <scheme val="minor"/>
      </rPr>
      <t xml:space="preserve">concessions de bornes de recharge </t>
    </r>
    <r>
      <rPr>
        <sz val="16"/>
        <color theme="1"/>
        <rFont val="Calibri"/>
        <family val="2"/>
        <scheme val="minor"/>
      </rPr>
      <t>pour bateaux à passagers</t>
    </r>
  </si>
  <si>
    <t>Concessions d'appel d'offres pour les bornes de recharge publiques pour les bateaux de plaisance</t>
  </si>
  <si>
    <t>Soutenir les marinas avec l'installation d'infrastructures de recharge</t>
  </si>
  <si>
    <t>Véhicules communaux</t>
  </si>
  <si>
    <r>
      <t>Tous les</t>
    </r>
    <r>
      <rPr>
        <b/>
        <sz val="16"/>
        <color theme="1"/>
        <rFont val="Calibri"/>
        <family val="2"/>
        <scheme val="minor"/>
      </rPr>
      <t xml:space="preserve"> transports externes contractés par la ville doivent éviter l'utilisation de combustibles fossiles</t>
    </r>
  </si>
  <si>
    <t>Rechercher des entreprises et des transports de banlieue des employés en vélo et en transports</t>
  </si>
  <si>
    <r>
      <rPr>
        <b/>
        <sz val="16"/>
        <color theme="1"/>
        <rFont val="Calibri"/>
        <family val="2"/>
        <scheme val="minor"/>
      </rPr>
      <t xml:space="preserve">Télétravail. </t>
    </r>
    <r>
      <rPr>
        <sz val="16"/>
        <color theme="1"/>
        <rFont val="Calibri"/>
        <family val="2"/>
        <scheme val="minor"/>
      </rPr>
      <t>La Ville de Bruxelles lance un projet pour encourager du télétravail.</t>
    </r>
  </si>
  <si>
    <r>
      <t>Convertir et/ou acheter des n</t>
    </r>
    <r>
      <rPr>
        <b/>
        <sz val="16"/>
        <color theme="1"/>
        <rFont val="Calibri"/>
        <family val="2"/>
        <scheme val="minor"/>
      </rPr>
      <t>ouveaux navires propriété de la ville (Port d'Anvers) propulsés à méthanol, à hydrogène ou hybrides</t>
    </r>
    <r>
      <rPr>
        <sz val="16"/>
        <color theme="1"/>
        <rFont val="Calibri"/>
        <family val="2"/>
        <scheme val="minor"/>
      </rPr>
      <t xml:space="preserve"> </t>
    </r>
  </si>
  <si>
    <r>
      <rPr>
        <b/>
        <sz val="16"/>
        <color theme="1"/>
        <rFont val="Calibri"/>
        <family val="2"/>
        <scheme val="minor"/>
      </rPr>
      <t>Flotte de la vill</t>
    </r>
    <r>
      <rPr>
        <sz val="16"/>
        <color theme="1"/>
        <rFont val="Calibri"/>
        <family val="2"/>
        <scheme val="minor"/>
      </rPr>
      <t>e : jouer un rôle exemplaire dans les déplacements durables et utilisation efficace des ressources</t>
    </r>
  </si>
  <si>
    <r>
      <t xml:space="preserve"> La ville de Louvain s'est engagée à </t>
    </r>
    <r>
      <rPr>
        <b/>
        <sz val="16"/>
        <color theme="1"/>
        <rFont val="Calibri"/>
        <family val="2"/>
        <scheme val="minor"/>
      </rPr>
      <t>écologiser sa propre flotte de véhicules.</t>
    </r>
  </si>
  <si>
    <t xml:space="preserve"> Plan de Déplacement des Administrations Parisiennes (PDAP) décline plus de 20 actions pour rendre la flotte et les pratiques municipales exemplaires</t>
  </si>
  <si>
    <r>
      <t xml:space="preserve">La ville de Copenhague souhaite mettre en place </t>
    </r>
    <r>
      <rPr>
        <b/>
        <sz val="16"/>
        <color theme="1"/>
        <rFont val="Calibri"/>
        <family val="2"/>
        <scheme val="minor"/>
      </rPr>
      <t>une solution de gestion de flotte et installer des systèmes de navigation</t>
    </r>
    <r>
      <rPr>
        <sz val="16"/>
        <color theme="1"/>
        <rFont val="Calibri"/>
        <family val="2"/>
        <scheme val="minor"/>
      </rPr>
      <t xml:space="preserve"> dans tous les véhicules municipaux.</t>
    </r>
  </si>
  <si>
    <r>
      <t xml:space="preserve">Véhicules de service communaux partagés utilisant un </t>
    </r>
    <r>
      <rPr>
        <b/>
        <sz val="16"/>
        <color theme="1"/>
        <rFont val="Calibri"/>
        <family val="2"/>
        <scheme val="minor"/>
      </rPr>
      <t>covoiturage municipal</t>
    </r>
  </si>
  <si>
    <r>
      <rPr>
        <b/>
        <sz val="16"/>
        <color theme="1"/>
        <rFont val="Calibri"/>
        <family val="2"/>
        <scheme val="minor"/>
      </rPr>
      <t>Un parc auto diversifié</t>
    </r>
    <r>
      <rPr>
        <sz val="16"/>
        <color theme="1"/>
        <rFont val="Calibri"/>
        <family val="2"/>
        <scheme val="minor"/>
      </rPr>
      <t xml:space="preserve">. Augmentation des véhicules électriques et hybrides. </t>
    </r>
  </si>
  <si>
    <t>Transition technologique de la flotte communale</t>
  </si>
  <si>
    <r>
      <rPr>
        <b/>
        <sz val="16"/>
        <color theme="1"/>
        <rFont val="Calibri"/>
        <family val="2"/>
        <scheme val="minor"/>
      </rPr>
      <t>Augmenter le nombre des voitures zéro émissions</t>
    </r>
    <r>
      <rPr>
        <sz val="16"/>
        <color theme="1"/>
        <rFont val="Calibri"/>
        <family val="2"/>
        <scheme val="minor"/>
      </rPr>
      <t xml:space="preserve"> dans le total des voitures à 20% d'ici 2030</t>
    </r>
  </si>
  <si>
    <r>
      <t xml:space="preserve">La Ville développe le </t>
    </r>
    <r>
      <rPr>
        <b/>
        <sz val="16"/>
        <color theme="1"/>
        <rFont val="Calibri"/>
        <family val="2"/>
        <scheme val="minor"/>
      </rPr>
      <t xml:space="preserve">système de «Burolib’ » </t>
    </r>
    <r>
      <rPr>
        <sz val="16"/>
        <color theme="1"/>
        <rFont val="Calibri"/>
        <family val="2"/>
        <scheme val="minor"/>
      </rPr>
      <t>pour ses agents : plusieurs salles de travail équipées d’ordinateurs, et connectées au réseau interne de la Ville de Paris sont accessibles tout au long de la journée</t>
    </r>
  </si>
  <si>
    <r>
      <t>Depuis 2011, tous les n</t>
    </r>
    <r>
      <rPr>
        <b/>
        <sz val="16"/>
        <color theme="1"/>
        <rFont val="Calibri"/>
        <family val="2"/>
        <scheme val="minor"/>
      </rPr>
      <t>ouveaux véhicules achetés sont électriques ou propulsés par hydrogène</t>
    </r>
    <r>
      <rPr>
        <sz val="16"/>
        <color theme="1"/>
        <rFont val="Calibri"/>
        <family val="2"/>
        <scheme val="minor"/>
      </rPr>
      <t xml:space="preserve">. </t>
    </r>
  </si>
  <si>
    <r>
      <rPr>
        <b/>
        <sz val="16"/>
        <color theme="1"/>
        <rFont val="Calibri"/>
        <family val="2"/>
        <scheme val="minor"/>
      </rPr>
      <t xml:space="preserve">Un parc auto diversifié. </t>
    </r>
    <r>
      <rPr>
        <sz val="16"/>
        <color theme="1"/>
        <rFont val="Calibri"/>
        <family val="2"/>
        <scheme val="minor"/>
      </rPr>
      <t>Mutualisation des voitures, utilisation du vélo pour des trajets courts, en mettant également à disposition des vélos cargos ou triporteurs.</t>
    </r>
  </si>
  <si>
    <t>Réduction des émissions de la flotte communale</t>
  </si>
  <si>
    <r>
      <t xml:space="preserve">La ville poursuit actuellement ses premiers camions vers la </t>
    </r>
    <r>
      <rPr>
        <b/>
        <sz val="16"/>
        <color theme="1"/>
        <rFont val="Calibri"/>
        <family val="2"/>
        <scheme val="minor"/>
      </rPr>
      <t>technologie hydrogène</t>
    </r>
    <r>
      <rPr>
        <sz val="16"/>
        <color theme="1"/>
        <rFont val="Calibri"/>
        <family val="2"/>
        <scheme val="minor"/>
      </rPr>
      <t>: 2 camions poubelles hydrogène seront déployés</t>
    </r>
  </si>
  <si>
    <r>
      <t xml:space="preserve">L'administration municipale </t>
    </r>
    <r>
      <rPr>
        <b/>
        <sz val="16"/>
        <color theme="1"/>
        <rFont val="Calibri"/>
        <family val="2"/>
        <scheme val="minor"/>
      </rPr>
      <t xml:space="preserve">étude les options d'utilisation de nouveaux carburants </t>
    </r>
    <r>
      <rPr>
        <sz val="16"/>
        <color theme="1"/>
        <rFont val="Calibri"/>
        <family val="2"/>
        <scheme val="minor"/>
      </rPr>
      <t>pour véhicules lourds</t>
    </r>
  </si>
  <si>
    <t>Production locale d'énergie</t>
  </si>
  <si>
    <t>Autre énergie renouvelable</t>
  </si>
  <si>
    <r>
      <t xml:space="preserve">La ville développe une </t>
    </r>
    <r>
      <rPr>
        <b/>
        <sz val="16"/>
        <color theme="1"/>
        <rFont val="Calibri"/>
        <family val="2"/>
        <scheme val="minor"/>
      </rPr>
      <t>stratégie de transition vers la chaleur verte et électricité.</t>
    </r>
  </si>
  <si>
    <r>
      <t xml:space="preserve">La Ville de Paris entend se doter d’une </t>
    </r>
    <r>
      <rPr>
        <b/>
        <sz val="16"/>
        <color theme="1"/>
        <rFont val="Calibri"/>
        <family val="2"/>
        <scheme val="minor"/>
      </rPr>
      <t>gouvernance locale de l’énergie et de moyens d’actions renforcés</t>
    </r>
  </si>
  <si>
    <t>2050: Utilisation d'eneries vertes</t>
  </si>
  <si>
    <t>Production locale de chaleur/froid</t>
  </si>
  <si>
    <t>Réseau de chaleur résiduelle</t>
  </si>
  <si>
    <r>
      <t xml:space="preserve">La ville et des organisations partenaires ont travaillé ensemble sur un plan d'action des </t>
    </r>
    <r>
      <rPr>
        <b/>
        <sz val="16"/>
        <color rgb="FF000000"/>
        <rFont val="Calibri"/>
        <family val="2"/>
        <scheme val="minor"/>
      </rPr>
      <t>réseaux de chaleur</t>
    </r>
    <r>
      <rPr>
        <sz val="16"/>
        <color rgb="FF000000"/>
        <rFont val="Calibri"/>
        <family val="2"/>
        <scheme val="minor"/>
      </rPr>
      <t xml:space="preserve"> pour 9 zones pilotes.</t>
    </r>
  </si>
  <si>
    <r>
      <t xml:space="preserve">Mettre à jour la </t>
    </r>
    <r>
      <rPr>
        <b/>
        <sz val="16"/>
        <color rgb="FF000000"/>
        <rFont val="Calibri"/>
        <family val="2"/>
        <scheme val="minor"/>
      </rPr>
      <t>carte solaire</t>
    </r>
  </si>
  <si>
    <r>
      <rPr>
        <b/>
        <sz val="16"/>
        <color theme="1"/>
        <rFont val="Calibri"/>
        <family val="2"/>
        <scheme val="minor"/>
      </rPr>
      <t>Maximiser la production d'énergie solaire</t>
    </r>
    <r>
      <rPr>
        <sz val="16"/>
        <color theme="1"/>
        <rFont val="Calibri"/>
        <family val="2"/>
        <scheme val="minor"/>
      </rPr>
      <t>. La ville veut s'inspirer de la sienne pour fournir aux bâtiments un maximum de panneaux solaire</t>
    </r>
  </si>
  <si>
    <t>remplacement des chaudières à mazout et gaz par des chaudières utilisant des combustibles renouvelables</t>
  </si>
  <si>
    <r>
      <t>La ville veut a</t>
    </r>
    <r>
      <rPr>
        <b/>
        <sz val="16"/>
        <color rgb="FF000000"/>
        <rFont val="Calibri"/>
        <family val="2"/>
        <scheme val="minor"/>
      </rPr>
      <t>rrêter d'utiliser des combustibles très polluants</t>
    </r>
    <r>
      <rPr>
        <sz val="16"/>
        <color rgb="FF000000"/>
        <rFont val="Calibri"/>
        <family val="2"/>
        <scheme val="minor"/>
      </rPr>
      <t xml:space="preserve"> tels que le charbon et fioul et souhaite passer plus rapidement à des alternatives durables</t>
    </r>
  </si>
  <si>
    <r>
      <rPr>
        <b/>
        <sz val="16"/>
        <color rgb="FF000000"/>
        <rFont val="Calibri"/>
        <family val="2"/>
        <scheme val="minor"/>
      </rPr>
      <t xml:space="preserve">Conseils et orientations </t>
    </r>
    <r>
      <rPr>
        <sz val="16"/>
        <color rgb="FF000000"/>
        <rFont val="Calibri"/>
        <family val="2"/>
        <scheme val="minor"/>
      </rPr>
      <t>pour l'installation de panneaux solaires</t>
    </r>
  </si>
  <si>
    <r>
      <t>Maximiser la production d'</t>
    </r>
    <r>
      <rPr>
        <b/>
        <sz val="16"/>
        <color theme="1"/>
        <rFont val="Calibri"/>
        <family val="2"/>
        <scheme val="minor"/>
      </rPr>
      <t>énergie éolienne</t>
    </r>
    <r>
      <rPr>
        <sz val="16"/>
        <color theme="1"/>
        <rFont val="Calibri"/>
        <family val="2"/>
        <scheme val="minor"/>
      </rPr>
      <t xml:space="preserve">. </t>
    </r>
  </si>
  <si>
    <t>réduire la consommation de combustibles fossiles de 25%</t>
  </si>
  <si>
    <t>Production locale d'électricité</t>
  </si>
  <si>
    <t>Panneaux photovoltaïques dans les logements</t>
  </si>
  <si>
    <r>
      <t xml:space="preserve">La ville encourage la </t>
    </r>
    <r>
      <rPr>
        <b/>
        <sz val="16"/>
        <color rgb="FF000000"/>
        <rFont val="Calibri"/>
        <family val="2"/>
        <scheme val="minor"/>
      </rPr>
      <t>formation de coopératives énergétiques et communautés d'énergie renouvelable</t>
    </r>
    <r>
      <rPr>
        <sz val="16"/>
        <color rgb="FF000000"/>
        <rFont val="Calibri"/>
        <family val="2"/>
        <scheme val="minor"/>
      </rPr>
      <t>. La ville informe les citoyens et les entreprises sur les opportunités de cette forme de gestion partagée de l'énergie.</t>
    </r>
  </si>
  <si>
    <r>
      <rPr>
        <b/>
        <sz val="16"/>
        <color rgb="FF000000"/>
        <rFont val="Calibri"/>
        <family val="2"/>
        <scheme val="minor"/>
      </rPr>
      <t>Prêts énergétiques</t>
    </r>
    <r>
      <rPr>
        <sz val="16"/>
        <color rgb="FF000000"/>
        <rFont val="Calibri"/>
        <family val="2"/>
        <scheme val="minor"/>
      </rPr>
      <t xml:space="preserve"> pour l'installation de panneaux solaires</t>
    </r>
  </si>
  <si>
    <r>
      <t xml:space="preserve">Projet d'exploration </t>
    </r>
    <r>
      <rPr>
        <b/>
        <sz val="16"/>
        <color theme="1"/>
        <rFont val="Calibri"/>
        <family val="2"/>
        <scheme val="minor"/>
      </rPr>
      <t>smart grids et stockage d'énergie</t>
    </r>
  </si>
  <si>
    <t>La Ville de Paris poursuivra son investissement dans les centrales solaires urbaines à l’image de la halle Pajol</t>
  </si>
  <si>
    <t>Motiver et soutenir le utilisation accrue des cellules solaires</t>
  </si>
  <si>
    <t>Intensifier l'élimination du gaz naturel, district par district</t>
  </si>
  <si>
    <t>Etude de nouveaux emplacements pour installer des éoliennes pouvant générer de l'éléctricité pour la commune.</t>
  </si>
  <si>
    <r>
      <rPr>
        <b/>
        <sz val="16"/>
        <color theme="1"/>
        <rFont val="Calibri"/>
        <family val="2"/>
        <scheme val="minor"/>
      </rPr>
      <t>BXLSOLAR</t>
    </r>
    <r>
      <rPr>
        <sz val="16"/>
        <color theme="1"/>
        <rFont val="Calibri"/>
        <family val="2"/>
        <scheme val="minor"/>
      </rPr>
      <t xml:space="preserve">. Installer des panneaux PV dans les bâtiments communales. </t>
    </r>
  </si>
  <si>
    <t>Panneaux photovoltaïques dans les bâtiments communales</t>
  </si>
  <si>
    <r>
      <t>La ville propose de vérifier si l'</t>
    </r>
    <r>
      <rPr>
        <b/>
        <sz val="16"/>
        <color theme="1"/>
        <rFont val="Calibri"/>
        <family val="2"/>
        <scheme val="minor"/>
      </rPr>
      <t>utilisation de biogaz issu de la fermentation de  déchets organiques</t>
    </r>
    <r>
      <rPr>
        <sz val="16"/>
        <color theme="1"/>
        <rFont val="Calibri"/>
        <family val="2"/>
        <scheme val="minor"/>
      </rPr>
      <t xml:space="preserve"> collectés sélectivement peut être injecté dans le réseau de gaz naturel. </t>
    </r>
  </si>
  <si>
    <r>
      <t>Continuer et développer Buurzame Stroom (</t>
    </r>
    <r>
      <rPr>
        <b/>
        <sz val="16"/>
        <color rgb="FF000000"/>
        <rFont val="Calibri"/>
        <family val="2"/>
        <scheme val="minor"/>
      </rPr>
      <t>consortium des projets d'énergie renouvelable</t>
    </r>
    <r>
      <rPr>
        <sz val="16"/>
        <color rgb="FF000000"/>
        <rFont val="Calibri"/>
        <family val="2"/>
        <scheme val="minor"/>
      </rPr>
      <t>)</t>
    </r>
  </si>
  <si>
    <r>
      <t xml:space="preserve">Une </t>
    </r>
    <r>
      <rPr>
        <b/>
        <sz val="16"/>
        <color theme="1"/>
        <rFont val="Calibri"/>
        <family val="2"/>
        <scheme val="minor"/>
      </rPr>
      <t>coopérative énergétique ville-régionale</t>
    </r>
  </si>
  <si>
    <t>La Ville de Paris poursuivra sa démarche de verdissement de ses achats d’énergie en soutenant la production d’énergies renouvelables</t>
  </si>
  <si>
    <t>Développer des sources durables pour le réseau de distribution de chaleur</t>
  </si>
  <si>
    <r>
      <t>La ville veut élaborer de</t>
    </r>
    <r>
      <rPr>
        <b/>
        <sz val="16"/>
        <color theme="1"/>
        <rFont val="Calibri"/>
        <family val="2"/>
        <scheme val="minor"/>
      </rPr>
      <t>s plans de zonage solaire</t>
    </r>
    <r>
      <rPr>
        <sz val="16"/>
        <color theme="1"/>
        <rFont val="Calibri"/>
        <family val="2"/>
        <scheme val="minor"/>
      </rPr>
      <t xml:space="preserve"> pour encourager l'énergie solaire</t>
    </r>
  </si>
  <si>
    <r>
      <t>Le Groupe Gand a l'ambition d'atteindre 30% de l'urbain d'ici 2025 consommation d</t>
    </r>
    <r>
      <rPr>
        <b/>
        <sz val="16"/>
        <color theme="1"/>
        <rFont val="Calibri"/>
        <family val="2"/>
        <scheme val="minor"/>
      </rPr>
      <t>'électricité des panneaux solaires</t>
    </r>
  </si>
  <si>
    <t>Développement de la production d’ENR via la SEM Énergies Posit’If</t>
  </si>
  <si>
    <t>Création de guildes pour les actions d'éoliennes vendues aux citoyens et aux entreprises à Copenhague.</t>
  </si>
  <si>
    <t>Construire une infrastructure de chauffage à l'échelle de la ville</t>
  </si>
  <si>
    <r>
      <t xml:space="preserve">La ville propose de faire un  </t>
    </r>
    <r>
      <rPr>
        <b/>
        <sz val="16"/>
        <color theme="1"/>
        <rFont val="Calibri"/>
        <family val="2"/>
        <scheme val="minor"/>
      </rPr>
      <t>plan de zonage éolien</t>
    </r>
    <r>
      <rPr>
        <sz val="16"/>
        <color theme="1"/>
        <rFont val="Calibri"/>
        <family val="2"/>
        <scheme val="minor"/>
      </rPr>
      <t xml:space="preserve"> en fonction des petites éoliennes. </t>
    </r>
  </si>
  <si>
    <r>
      <rPr>
        <b/>
        <sz val="16"/>
        <color theme="1"/>
        <rFont val="Calibri"/>
        <family val="2"/>
        <scheme val="minor"/>
      </rPr>
      <t>Éoliennes</t>
    </r>
    <r>
      <rPr>
        <sz val="16"/>
        <color theme="1"/>
        <rFont val="Calibri"/>
        <family val="2"/>
        <scheme val="minor"/>
      </rPr>
      <t xml:space="preserve"> (Tech Lane Gent - Eiland Zwijnaard et dans le port) </t>
    </r>
  </si>
  <si>
    <t>Paris devra soutenir et participer au financement de productions d’énergies renouvelables en dehors de son territoire</t>
  </si>
  <si>
    <t>Des éoliennes offshore et terrestres de 360 MW (100 turbines) ont été installées</t>
  </si>
  <si>
    <t>Maximiser la production d'énergie solaire sur les toits</t>
  </si>
  <si>
    <r>
      <t xml:space="preserve">Project pilote </t>
    </r>
    <r>
      <rPr>
        <b/>
        <sz val="16"/>
        <color theme="1"/>
        <rFont val="Calibri"/>
        <family val="2"/>
        <scheme val="minor"/>
      </rPr>
      <t>d'écosystème à hydrogène</t>
    </r>
    <r>
      <rPr>
        <sz val="16"/>
        <color theme="1"/>
        <rFont val="Calibri"/>
        <family val="2"/>
        <scheme val="minor"/>
      </rPr>
      <t xml:space="preserve">. </t>
    </r>
  </si>
  <si>
    <r>
      <t xml:space="preserve">Énergie </t>
    </r>
    <r>
      <rPr>
        <b/>
        <sz val="16"/>
        <color theme="1"/>
        <rFont val="Calibri"/>
        <family val="2"/>
        <scheme val="minor"/>
      </rPr>
      <t>éolienne à petite échelle</t>
    </r>
  </si>
  <si>
    <t>La production combinée de chaleur et d'électricité à Copenhague est convertie en biomasse</t>
  </si>
  <si>
    <t>Optimiser l'utilisation de l'énergie éolienne potentielle</t>
  </si>
  <si>
    <r>
      <t xml:space="preserve">Opportunités pour la production </t>
    </r>
    <r>
      <rPr>
        <b/>
        <sz val="16"/>
        <color theme="1"/>
        <rFont val="Calibri"/>
        <family val="2"/>
        <scheme val="minor"/>
      </rPr>
      <t>d'énergie locale et les réseaux de chaleur pour les frais de développement urbain</t>
    </r>
  </si>
  <si>
    <r>
      <rPr>
        <b/>
        <sz val="16"/>
        <color theme="1"/>
        <rFont val="Calibri"/>
        <family val="2"/>
        <scheme val="minor"/>
      </rPr>
      <t>Carte thermique</t>
    </r>
    <r>
      <rPr>
        <sz val="16"/>
        <color theme="1"/>
        <rFont val="Calibri"/>
        <family val="2"/>
        <scheme val="minor"/>
      </rPr>
      <t xml:space="preserve"> de Gand</t>
    </r>
  </si>
  <si>
    <r>
      <t>Diriger et faciliter des projets pilotes sur la</t>
    </r>
    <r>
      <rPr>
        <b/>
        <sz val="16"/>
        <color theme="1"/>
        <rFont val="Calibri"/>
        <family val="2"/>
        <scheme val="minor"/>
      </rPr>
      <t xml:space="preserve"> chaleur verte</t>
    </r>
  </si>
  <si>
    <t>Une nouvelle centrale de production combinée de chaleur et d'électricité au bois a été créée</t>
  </si>
  <si>
    <t>Développer une infrastructure électrique résistante</t>
  </si>
  <si>
    <t>Panneaux photovoltaïques dans le secteur tertiaire</t>
  </si>
  <si>
    <r>
      <t xml:space="preserve">Avec le projet ASTER, la ville prendre une initiative pour investir dans le </t>
    </r>
    <r>
      <rPr>
        <b/>
        <sz val="16"/>
        <color rgb="FF000000"/>
        <rFont val="Calibri"/>
        <family val="2"/>
        <scheme val="minor"/>
      </rPr>
      <t>logement social avec l'installation de 20000 PV.</t>
    </r>
  </si>
  <si>
    <r>
      <t xml:space="preserve">Feuille de route vers les </t>
    </r>
    <r>
      <rPr>
        <b/>
        <sz val="16"/>
        <color theme="1"/>
        <rFont val="Calibri"/>
        <family val="2"/>
        <scheme val="minor"/>
      </rPr>
      <t>énergies renouvelables pour chaque maison</t>
    </r>
  </si>
  <si>
    <t>Une installation géothermique d'au moins 50 MW a été mise en place</t>
  </si>
  <si>
    <t>se toruner vers une consaommation d'energie produite localement</t>
  </si>
  <si>
    <r>
      <t xml:space="preserve">Accorder des </t>
    </r>
    <r>
      <rPr>
        <b/>
        <sz val="16"/>
        <color theme="1"/>
        <rFont val="Calibri"/>
        <family val="2"/>
        <scheme val="minor"/>
      </rPr>
      <t xml:space="preserve">prêts énergétiques </t>
    </r>
  </si>
  <si>
    <t>La production de pointe a été convertie en carburants neutres en carbone</t>
  </si>
  <si>
    <r>
      <t xml:space="preserve">Faciliter les </t>
    </r>
    <r>
      <rPr>
        <b/>
        <sz val="16"/>
        <color theme="1"/>
        <rFont val="Calibri"/>
        <family val="2"/>
        <scheme val="minor"/>
      </rPr>
      <t>communautés énergétiques locales</t>
    </r>
  </si>
  <si>
    <t>biométhanisation des déchets organiques</t>
  </si>
  <si>
    <r>
      <t xml:space="preserve">Le projet pilote Muide-Meulestede + Mariakerke sans fossile.  quartiers pilotes pour le </t>
    </r>
    <r>
      <rPr>
        <b/>
        <sz val="16"/>
        <color theme="1"/>
        <rFont val="Calibri"/>
        <family val="2"/>
        <scheme val="minor"/>
      </rPr>
      <t>passage à une vie sans gaz</t>
    </r>
  </si>
  <si>
    <t>Une installation REnescience ou biogaz à grande échelle a été créée</t>
  </si>
  <si>
    <t>consommer des energies renouvellables te energies vertes</t>
  </si>
  <si>
    <r>
      <t xml:space="preserve"> Le </t>
    </r>
    <r>
      <rPr>
        <b/>
        <sz val="16"/>
        <color theme="1"/>
        <rFont val="Calibri"/>
        <family val="2"/>
        <scheme val="minor"/>
      </rPr>
      <t>réseau de chaleur</t>
    </r>
    <r>
      <rPr>
        <sz val="16"/>
        <color theme="1"/>
        <rFont val="Calibri"/>
        <family val="2"/>
        <scheme val="minor"/>
      </rPr>
      <t xml:space="preserve"> alimenté par IVAGO est étendu et le réseau de chaleur Luminus existant </t>
    </r>
  </si>
  <si>
    <t>Le plastique des ménages et des entreprises est séparé du flux de déchets</t>
  </si>
  <si>
    <r>
      <t xml:space="preserve">Fourniture de </t>
    </r>
    <r>
      <rPr>
        <b/>
        <sz val="16"/>
        <color theme="1"/>
        <rFont val="Calibri"/>
        <family val="2"/>
        <scheme val="minor"/>
      </rPr>
      <t>chaleur collective</t>
    </r>
    <r>
      <rPr>
        <sz val="16"/>
        <color theme="1"/>
        <rFont val="Calibri"/>
        <family val="2"/>
        <scheme val="minor"/>
      </rPr>
      <t xml:space="preserve"> pour les plus gros nouveaux projets de construction</t>
    </r>
  </si>
  <si>
    <t>Courtier en énergie urbaine</t>
  </si>
  <si>
    <t>insiter les habitants à utiliser le co-ownership (pour leur voiture, pour leur compagnie d'éléctricite, pour leurs bureaux et pour leur maison.</t>
  </si>
  <si>
    <t>Enquête sur le consortium smart buildings  et zones neutres en énergie</t>
  </si>
  <si>
    <t>Carbon Capture &amp; Utilization Hub</t>
  </si>
  <si>
    <t>Meilleure efficacité des moteurs électriques</t>
  </si>
  <si>
    <t>Agriculture</t>
  </si>
  <si>
    <t>Scope 3</t>
  </si>
  <si>
    <t>Consommation durable de la commune</t>
  </si>
  <si>
    <r>
      <rPr>
        <b/>
        <sz val="16"/>
        <color theme="1"/>
        <rFont val="Calibri"/>
        <family val="2"/>
        <scheme val="minor"/>
      </rPr>
      <t xml:space="preserve">La ville consomme durable. </t>
    </r>
    <r>
      <rPr>
        <sz val="16"/>
        <color theme="1"/>
        <rFont val="Calibri"/>
        <family val="2"/>
        <scheme val="minor"/>
      </rPr>
      <t>Revoir les marchés publiques provenant de la commune pour y mettre des clauses durables</t>
    </r>
  </si>
  <si>
    <t>Achats respectueux de l'environnement et éthiquement responsable</t>
  </si>
  <si>
    <r>
      <rPr>
        <b/>
        <sz val="16"/>
        <color theme="1"/>
        <rFont val="Calibri"/>
        <family val="2"/>
        <scheme val="minor"/>
      </rPr>
      <t xml:space="preserve">Exigences climatiques et environnementales dans les achats </t>
    </r>
    <r>
      <rPr>
        <sz val="16"/>
        <color theme="1"/>
        <rFont val="Calibri"/>
        <family val="2"/>
        <scheme val="minor"/>
      </rPr>
      <t>de la ville sont étendues à plus domaines.</t>
    </r>
  </si>
  <si>
    <t>Réduction de 40% des dechets papier. Cela permettra de réduire de 40% (131teqCo2)</t>
  </si>
  <si>
    <r>
      <rPr>
        <b/>
        <sz val="16"/>
        <color theme="1"/>
        <rFont val="Calibri"/>
        <family val="2"/>
        <scheme val="minor"/>
      </rPr>
      <t>Mutualisation des marchés publics.</t>
    </r>
    <r>
      <rPr>
        <sz val="16"/>
        <color theme="1"/>
        <rFont val="Calibri"/>
        <family val="2"/>
        <scheme val="minor"/>
      </rPr>
      <t xml:space="preserve"> Création d’un groupe d’achat/marché conjoint avec d’autres administrations publiques et d’un inventaire de biens dont l’achat et l’utilisation peuvent être communs</t>
    </r>
  </si>
  <si>
    <r>
      <t xml:space="preserve">Élaborer une </t>
    </r>
    <r>
      <rPr>
        <b/>
        <sz val="16"/>
        <color theme="1"/>
        <rFont val="Calibri"/>
        <family val="2"/>
        <scheme val="minor"/>
      </rPr>
      <t>check-list (+ engagements) pour la durabilité</t>
    </r>
    <r>
      <rPr>
        <sz val="16"/>
        <color theme="1"/>
        <rFont val="Calibri"/>
        <family val="2"/>
        <scheme val="minor"/>
      </rPr>
      <t xml:space="preserve"> comme ligne directrice est utilisé dans chaque nouveau projet d'infrastructure (à la fois rénovation, restauration comme nouvelle construction).</t>
    </r>
  </si>
  <si>
    <r>
      <t>Des</t>
    </r>
    <r>
      <rPr>
        <b/>
        <sz val="16"/>
        <color theme="1"/>
        <rFont val="Calibri"/>
        <family val="2"/>
        <scheme val="minor"/>
      </rPr>
      <t xml:space="preserve"> cours et trainings sur la culture climatique </t>
    </r>
    <r>
      <rPr>
        <sz val="16"/>
        <color theme="1"/>
        <rFont val="Calibri"/>
        <family val="2"/>
        <scheme val="minor"/>
      </rPr>
      <t>seront déroulés pour le staff de la ville.</t>
    </r>
  </si>
  <si>
    <t>réduction de 10% des dechets pris en charge par la déchetterie. L'objectif est de revaloriser les produits d'augmenter leur durée de vie et d'inister les consommateurs à acheter du seconde main</t>
  </si>
  <si>
    <r>
      <rPr>
        <b/>
        <sz val="16"/>
        <color theme="1"/>
        <rFont val="Calibri"/>
        <family val="2"/>
        <scheme val="minor"/>
      </rPr>
      <t xml:space="preserve">Handymade in Brussels. </t>
    </r>
    <r>
      <rPr>
        <sz val="16"/>
        <color theme="1"/>
        <rFont val="Calibri"/>
        <family val="2"/>
        <scheme val="minor"/>
      </rPr>
      <t>Réutiliser les bâches de chantier</t>
    </r>
  </si>
  <si>
    <t xml:space="preserve">Tous les nouveaux employés seront présentés aux objectifs de réduction de CO2 de la ville et seront formés dans des habitudes respectueuses du climat dans les routines de travail. </t>
  </si>
  <si>
    <t>Evènements durables</t>
  </si>
  <si>
    <r>
      <rPr>
        <b/>
        <sz val="16"/>
        <color theme="1"/>
        <rFont val="Calibri"/>
        <family val="2"/>
        <scheme val="minor"/>
      </rPr>
      <t xml:space="preserve">Faisons durer la fête. </t>
    </r>
    <r>
      <rPr>
        <sz val="16"/>
        <color theme="1"/>
        <rFont val="Calibri"/>
        <family val="2"/>
        <scheme val="minor"/>
      </rPr>
      <t>La Ville dispondra d'un formulaire pour promouvoir des critères durables chez les évènements à se dérouler dans le territoire.</t>
    </r>
  </si>
  <si>
    <r>
      <rPr>
        <b/>
        <sz val="16"/>
        <color theme="1"/>
        <rFont val="Calibri"/>
        <family val="2"/>
        <scheme val="minor"/>
      </rPr>
      <t xml:space="preserve">Brussel papers. </t>
    </r>
    <r>
      <rPr>
        <sz val="16"/>
        <color theme="1"/>
        <rFont val="Calibri"/>
        <family val="2"/>
        <scheme val="minor"/>
      </rPr>
      <t xml:space="preserve">La Ville compte de digitaliser des process pour éviter la consommation de papier </t>
    </r>
  </si>
  <si>
    <r>
      <rPr>
        <b/>
        <sz val="16"/>
        <color theme="1"/>
        <rFont val="Calibri"/>
        <family val="2"/>
        <scheme val="minor"/>
      </rPr>
      <t xml:space="preserve">L'oignon fait la force. </t>
    </r>
    <r>
      <rPr>
        <sz val="16"/>
        <color theme="1"/>
        <rFont val="Calibri"/>
        <family val="2"/>
        <scheme val="minor"/>
      </rPr>
      <t>Aider les écoles à obtenir le label Good Food en promouvant des actions contre le gaspillage alimentaire, le développement de potagers et d'autres actions</t>
    </r>
  </si>
  <si>
    <t>interdiction de vendre du plastique à usage unique.</t>
  </si>
  <si>
    <r>
      <rPr>
        <b/>
        <sz val="16"/>
        <color theme="1"/>
        <rFont val="Calibri"/>
        <family val="2"/>
        <scheme val="minor"/>
      </rPr>
      <t>Give peas a chance</t>
    </r>
    <r>
      <rPr>
        <sz val="16"/>
        <color theme="1"/>
        <rFont val="Calibri"/>
        <family val="2"/>
        <scheme val="minor"/>
      </rPr>
      <t>. La Ville vise à engager des restaurants à proposer un nouveau plat végétarien sur leur carte</t>
    </r>
  </si>
  <si>
    <t>Informer la population</t>
  </si>
  <si>
    <t>Informer et faire prendre conscience à la population sur les enjeux écologiques, et de l'urgence de la chose. Trouver des moyens d'impliquer tout le monde dans la transition écologique en lançant des débats ouverts organisés par la municipalité.</t>
  </si>
  <si>
    <t>Mieux communiquer sur le systèmle de recyclage en hollande. Beauocup d'habitants ne comprennent pas comment fonctionne le recyclage chez eux et ne recylent pas leurs aliments et dechets de la bonne façon.
- des mesures plus styrictes votn être prises afin de pénaliser les personnes qui ne trient pas leurs dechets de la bonne façon</t>
  </si>
  <si>
    <t>Mieux informer la population sur la qualité de l'air au tours d'eux (Airscan?)</t>
  </si>
  <si>
    <t>Mieux informer la population sur la transition climatique et ce à quoi il faut se préparer. Communiquer sur des solutions que tout le monde peut appliquer afin de ne réduire son impacte sur l'environement</t>
  </si>
  <si>
    <t>Informer les personnes utilisant des feu de bois ou du chauffage au fuel, quelles sont les alternatives pour réduire leur impact sur la qualité de l'air</t>
  </si>
  <si>
    <t>a cause de la polution de l'air beaucoup la ville a constanté une hausse des porblèmes de santé tel que des bronchites, des cancer du poumon, de l'asme, ... 
Afin d'améliorer la qualitée de l'air la ville va mettre des capteurs dans plusieurs parties de la ville afin de constament mesurer la qualité de l'air.</t>
  </si>
  <si>
    <t>Reduction du traffique en centre ville, instoration de jours sans voiture, lancement d'une taxe pour les vehicules polluant trop</t>
  </si>
  <si>
    <t>Adaptation</t>
  </si>
  <si>
    <t>Objectif d'adaptation</t>
  </si>
  <si>
    <t xml:space="preserve">Deux aléas majeurs pouvant impacter la Ville de Bruxelles ont été mis au jour: • une intensification des pluies pouvant augmenter les risques d’inondations, • la formation d’ilots de chaleur urbains qui correspondent à une élévation très localisées des températures. </t>
  </si>
  <si>
    <t xml:space="preserve">Les défis d'adaptation identifiés pour une grande ville sont l'artificialisation des sols causant des inondations 'flash' et intensifiant l'îlot de chaleur urbain. </t>
  </si>
  <si>
    <t>D'ici 2030, nous voulons mettre Anvers sur la carte comme la ville la plus habitable du pays. Les défis climatiques comptent -stress thermique en ville
- problèmes de sécheresse
- le climat des précipitations locales et l'impact sur les inondations en ville
- inondation des cours d'eau locaux
- inondations de l'Escaut en raison de l'élévation du niveau de la mer et des ondes de tempête</t>
  </si>
  <si>
    <t>Le changement climatique rend Gand vulnérable à des vagues de chaleur de plus en plus intenses, des précipitations plus extrêmes et des périodes de sécheresse plus longues. Concrètement: 1. Le sous-sol de Gand agit comme une éponge, de sorte que la ville et ses habitants subissent une perturbation minimale inondations et sécheresse  2. Nous évitons le stress thermique en refroidissant Gand avec de la verdure.</t>
  </si>
  <si>
    <t>Louvain est également vulnérable au changement climatique. Les principaux risques sont : Sécheresse et épuisement des réserves d'eau: diagnostic élaboré dans l'étude de sécheresse Stress thermique dans les quartiers fortement pavés où vivent des groupes à risque Inondations et érosion dues au ruissellement des eaux pluviales: nuisances potentielles et mesures discutées dans le plan des eaux pluviales et le plan de contrôle de l'érosion Risque d'inondation des cours d'eau: idem Perte d'espace écosystémique et de biodiversité</t>
  </si>
  <si>
    <t>Face aux conséquences attendues du dérèglement climatique,
Paris est une ville robuste26 mais qui présente tout de même des points de vigilance : vagues de chaleur, inondations, qualité de l’air et ressources en eau principalement</t>
  </si>
  <si>
    <t>L’objectif du plan d’adaptation au climat de Copenhague est de protéger la ville, ses citoyens, le monde des affaires et les nombreux atouts de la ville. Mais le plan est aussi un plan de développement, axé sur les opportunités</t>
  </si>
  <si>
    <t xml:space="preserve">Notre ambition est qu'Amsterdam soit comme ça d'ici 2050est bien préparé pour le changementclimat. L'adaptation au climat est essentielle à la préoccupationqu'Amsterdam sur les plans physique, social et économiquele respect reste précieux. (Strategie Klimaatadaptatie Amsterdam) </t>
  </si>
  <si>
    <t>Mesures d'adaptation</t>
  </si>
  <si>
    <t xml:space="preserve">Bâtiments   </t>
  </si>
  <si>
    <r>
      <rPr>
        <b/>
        <sz val="16"/>
        <color theme="1"/>
        <rFont val="Calibri"/>
        <family val="2"/>
        <scheme val="minor"/>
      </rPr>
      <t xml:space="preserve">Une prime pour le climat. </t>
    </r>
    <r>
      <rPr>
        <sz val="16"/>
        <color theme="1"/>
        <rFont val="Calibri"/>
        <family val="2"/>
        <scheme val="minor"/>
      </rPr>
      <t xml:space="preserve">La Ville de Bruxelles proposera une prime aux propriétaires ou locataires. Cette aide les encouragera à augmenter les surfaces perméables et végétalisées en cas de rénovation ou recon- struction de bâtiments. </t>
    </r>
  </si>
  <si>
    <t>Sols perméables à l'eau</t>
  </si>
  <si>
    <t>Elargir les parcs de quartier et la verdure résidentielle, avec une attention particulière pour les zones densément bâties</t>
  </si>
  <si>
    <t>Une ville qui réinvente ses bâtiments et ses toits pour s’adapter aux canicules (Des bâtiments confortables en été; Les nouveaux toits de Paris)</t>
  </si>
  <si>
    <t>Enregistrement des bâtiments dans les zones à risque</t>
  </si>
  <si>
    <t>Il est obligatoire pour les nouvelles constructions de stocker l'eau de pluie sur leur propre parcelle. Le drainage retardé de l'eau de pluie se fait de préférence en l'infiltrant dans le sol ou via l'eau de surface (éventuellement à proximité)</t>
  </si>
  <si>
    <r>
      <rPr>
        <b/>
        <sz val="16"/>
        <color theme="1"/>
        <rFont val="Calibri"/>
        <family val="2"/>
        <scheme val="minor"/>
      </rPr>
      <t xml:space="preserve">Des toits vivants. </t>
    </r>
    <r>
      <rPr>
        <sz val="16"/>
        <color theme="1"/>
        <rFont val="Calibri"/>
        <family val="2"/>
        <scheme val="minor"/>
      </rPr>
      <t xml:space="preserve">La Ville met un plan pour rendre les toitures plates avec une fonction supplémentaire tel que production d’énergie, végétalisation, récupération de l’eau de pluie, potager, ruche, etc. </t>
    </r>
  </si>
  <si>
    <t>Toits verts (extensifs)</t>
  </si>
  <si>
    <t>Encourager l'installation des toits verts et les façades vertes dans les bâtiments urbains</t>
  </si>
  <si>
    <t> </t>
  </si>
  <si>
    <t xml:space="preserve">Amélioration des qualifications / formation des professionnels pour rendre les nouveuax bâtiments plus résilients </t>
  </si>
  <si>
    <t>Se concentrer sur des matériaux pour la façade et dans l'espace extérieur qui absorbent le moins possible le rayonnement thermique</t>
  </si>
  <si>
    <r>
      <rPr>
        <b/>
        <sz val="16"/>
        <color theme="1"/>
        <rFont val="Calibri"/>
        <family val="2"/>
        <scheme val="minor"/>
      </rPr>
      <t xml:space="preserve">Il est permis de végétaliser. </t>
    </r>
    <r>
      <rPr>
        <sz val="16"/>
        <color theme="1"/>
        <rFont val="Calibri"/>
        <family val="2"/>
        <scheme val="minor"/>
      </rPr>
      <t>La Ville souhaite développer un outil en ligne destiné aux habitants ou groupes d’habitants qui souhaitent demander un permis de végétaliser.</t>
    </r>
  </si>
  <si>
    <t>Plantation d’arbres</t>
  </si>
  <si>
    <t>Prêter attention aux infrastructures de refroidissement tels que les matériaux de couleur blanche, l'infrastructure d'ombre, …</t>
  </si>
  <si>
    <t>Environnement et biodiversité</t>
  </si>
  <si>
    <t>Systèmes d'irrigation intelligents dans les jardins publics</t>
  </si>
  <si>
    <t>Empêcher une nouvelle augmentation nette de l'imperméabilisation des sols grâce à bâtiments et pavage</t>
  </si>
  <si>
    <t>Verdissement de la ville : La ville étend encore de 30 ha l'espace vert accessible au public d'ici 2025. En outre, la ville s'est engagée à rendre les places et les rues plus vertes (y compris les arbres de rue) et les bâtiments (y compris la verdure de façade et les toits verts). Le parc arboré urbain est en train de s'accroître considérablement. Aussi, y-compris la promotion de l'écologisation du domaine semi-public et privé.</t>
  </si>
  <si>
    <t>Une ville qui œuvre pour réduire la pollution de fond</t>
  </si>
  <si>
    <t>Equilibrage de la température de surface de la ville (l'objectif du projet est d'évaluer la taille des espaces verts nécessaires à l'adaptation climatique de la ville.)</t>
  </si>
  <si>
    <t>Se concentrer sur le verdissement des espaces extérieurs, des toits et des façades</t>
  </si>
  <si>
    <r>
      <rPr>
        <b/>
        <sz val="16"/>
        <color theme="1"/>
        <rFont val="Calibri"/>
        <family val="2"/>
        <scheme val="minor"/>
      </rPr>
      <t>Les liaisons vertes. L</t>
    </r>
    <r>
      <rPr>
        <sz val="16"/>
        <color theme="1"/>
        <rFont val="Calibri"/>
        <family val="2"/>
        <scheme val="minor"/>
      </rPr>
      <t>a Ville de Bruxelles développe un maillage végétalisé qui relie les espaces verts, les chemins, les sentiers, les itinéraires cyclo-piétons et le maillage vert/bleu régional existant</t>
    </r>
  </si>
  <si>
    <t>Corridors écologiques</t>
  </si>
  <si>
    <t>Réaménager intégralement le domaine public à une réduction de la chaussée de 15% en moyenne sur les différents projets, y compris dans les parcs.</t>
  </si>
  <si>
    <t>Verdure multifonctionnelle et développement de la nature : La ville met l'accent sur la multifonctionnalité durable de la nature, du paysage et du vert (urbain)</t>
  </si>
  <si>
    <t>Une ville qui agit lors des pics de pollution et sur les pollutions ponctuelles (Vers une mise en œuvre rapide de la circulation différenciée, moins de pollutions ponctuelles sur les chantiers et groupes électrogènes)</t>
  </si>
  <si>
    <t>Stratégie de plantation (nouvelle planification adaptée au climat de l'avenir)</t>
  </si>
  <si>
    <t>Créer des «endroits frais / parcs à timbres» locaux où les résidents locaux peuvent chercher à se rafraîchir</t>
  </si>
  <si>
    <t>Élaboration et mise en œuvre de la 'Note de vision Groenklimaatassen'</t>
  </si>
  <si>
    <t>Une ville qui protège ses habitants des risques liés à la pollution de l’air</t>
  </si>
  <si>
    <t>Plan de structure verte et bleue</t>
  </si>
  <si>
    <t>Gestion adaptative des différentes formes de verdure urbaine et de nature</t>
  </si>
  <si>
    <t>Une ville qui agit pour végétaliser son territoire (Renforcement de la végétalisation; Des arbres et forêts urbaines)</t>
  </si>
  <si>
    <t>Systèmes d'arrosage des arbres et des espaces verts</t>
  </si>
  <si>
    <t>Augmenter la stock d'arbres de la ville</t>
  </si>
  <si>
    <t>Nouveau plan biodiversité (2018-2024)</t>
  </si>
  <si>
    <r>
      <rPr>
        <b/>
        <sz val="16"/>
        <color theme="1"/>
        <rFont val="Calibri"/>
        <family val="2"/>
        <scheme val="minor"/>
      </rPr>
      <t>Une deuxième vie pour le bois.</t>
    </r>
    <r>
      <rPr>
        <sz val="16"/>
        <color theme="1"/>
        <rFont val="Calibri"/>
        <family val="2"/>
        <scheme val="minor"/>
      </rPr>
      <t xml:space="preserve"> La Ville souhaite identifier les différentes filières d’utilisation des produits issus de la gestion des bois et forêts. Ceux-ci peuvent en effet être réutilisés.</t>
    </r>
  </si>
  <si>
    <t>Mettre en œuvre le «SIP vert». Avec cela, nous donnons environ 257 hectares de zones vertes publiques et la nature et la forêt précieuses ont une destination légale appropriée et planifier une protection juridique</t>
  </si>
  <si>
    <t xml:space="preserve">Aménagement du territoire </t>
  </si>
  <si>
    <t>Zones non-constructibles</t>
  </si>
  <si>
    <r>
      <rPr>
        <b/>
        <sz val="16"/>
        <color rgb="FF000000"/>
        <rFont val="Calibri"/>
        <family val="2"/>
        <scheme val="minor"/>
      </rPr>
      <t>Refroidissement</t>
    </r>
    <r>
      <rPr>
        <sz val="16"/>
        <color rgb="FF000000"/>
        <rFont val="Calibri"/>
        <family val="2"/>
        <scheme val="minor"/>
      </rPr>
      <t xml:space="preserve"> de la ville. 1) axes et corridors verts, 2) Plus de vert de qualité dans le domaine public.</t>
    </r>
  </si>
  <si>
    <t>Mettre en œuvre 'Room for Gand"</t>
  </si>
  <si>
    <t>Adoucir la ville : Pas de surfaçage supplémentaire net d'ici 2050</t>
  </si>
  <si>
    <t>Une ville qui réinvente ses sols et sous-sols pour s’adapter (Des revêtements de sol favorisant davantage de perméabilité; La fraîcheur des sous-sols parisiens)</t>
  </si>
  <si>
    <t xml:space="preserve">Les logements neufs et les utilités et les espaces publics à aménager ont l'ambition de ne plus évacuer l'eau de pluie via le réseau d'égouts, mais de la collecter et de la réutiliser au maximum. </t>
  </si>
  <si>
    <t xml:space="preserve">Stratégie spatial Anvers. </t>
  </si>
  <si>
    <t>Le réseau vert-bleu à grande échelle sera encore élargi</t>
  </si>
  <si>
    <t>Contre l'effet d'îlot de chaleur : élaboration d'un plan thermique</t>
  </si>
  <si>
    <t>La construction et l'ameublement résistants à la chaleur comme exigence lors de l'élaboration des plans d'urbanisme</t>
  </si>
  <si>
    <t>Eau</t>
  </si>
  <si>
    <r>
      <rPr>
        <b/>
        <sz val="16"/>
        <color theme="1"/>
        <rFont val="Calibri"/>
        <family val="2"/>
        <scheme val="minor"/>
      </rPr>
      <t xml:space="preserve">Gestion des eaux de pluie. </t>
    </r>
    <r>
      <rPr>
        <sz val="16"/>
        <color theme="1"/>
        <rFont val="Calibri"/>
        <family val="2"/>
        <scheme val="minor"/>
      </rPr>
      <t xml:space="preserve">La Ville a pour but la réduction drastique des rejets d’eau de pluie à l’égout, réutilisation de l’eau de pluie, etc. Une Task force Eau assurera cette gestion alternative. </t>
    </r>
  </si>
  <si>
    <t>Réouverture de cours d'eau</t>
  </si>
  <si>
    <r>
      <t xml:space="preserve">La ville se </t>
    </r>
    <r>
      <rPr>
        <b/>
        <sz val="16"/>
        <color theme="1"/>
        <rFont val="Calibri"/>
        <family val="2"/>
        <scheme val="minor"/>
      </rPr>
      <t>protège contre les inondations</t>
    </r>
    <r>
      <rPr>
        <sz val="16"/>
        <color theme="1"/>
        <rFont val="Calibri"/>
        <family val="2"/>
        <scheme val="minor"/>
      </rPr>
      <t>. 1) Protéger la ville contre les inondations des cours d'eau, 2) Nouveaux égouts et plans d'aménagement du quartier pour l'eau et la verdure, 3) Aborder en priorité les zones sensibles à l'eau</t>
    </r>
  </si>
  <si>
    <t>Mesures à la source pour réduire l'eau de pluie possible de tenir sur place pour réutiliser ou laisser s'infiltrer dans le sol</t>
  </si>
  <si>
    <t>Renforce la structure principale bleu-vert : Un `` Master Plan '' pour la vallée de la Dyle et un projet stratégique pour la Vallée de Molenbeek</t>
  </si>
  <si>
    <t xml:space="preserve">Une ville qui rend l’eau visible et accessible pour tous (Davantage de zones humides et de trames bleues à Paris; Le droit à l’eau pour tous; De nouveaux espaces de baignade à Paris) </t>
  </si>
  <si>
    <t>Réduction de la charge hydraulique des cours d'eau</t>
  </si>
  <si>
    <t xml:space="preserve">Utiliser des plantes resistantes à la secheresse dans les nouveux parcs </t>
  </si>
  <si>
    <r>
      <t>Anvers pour la</t>
    </r>
    <r>
      <rPr>
        <b/>
        <sz val="16"/>
        <color theme="1"/>
        <rFont val="Calibri"/>
        <family val="2"/>
        <scheme val="minor"/>
      </rPr>
      <t xml:space="preserve"> réutilisation et les économies d'eau</t>
    </r>
    <r>
      <rPr>
        <sz val="16"/>
        <color theme="1"/>
        <rFont val="Calibri"/>
        <family val="2"/>
        <scheme val="minor"/>
      </rPr>
      <t>. 1) Collecter et réutiliser l'eau de pluie, à la fois individuellement et collectivement, 2) Utilisation circulaire de l'eau, 3) Réseau d'eau de la ville</t>
    </r>
  </si>
  <si>
    <t>Construction d'installations d'infiltration et tampons conceptions personnalisables. Ils peuvent être adaptés à précipitations plus abondantes.</t>
  </si>
  <si>
    <t>Mise en œuvre du plan eau de pluie</t>
  </si>
  <si>
    <t>Une ville qui agit pour une gestion durable de l’eau (Diversifier les ressources en eau; Garantir l’approvisionnement en eau potable en toute circonstance; Se préparer à la gestion des crises)</t>
  </si>
  <si>
    <t>Ouverture de circuits d'eau tuyau (optimiser l'utilisation des systèmes de cours d'eau de la municipalité afinautant d'eaux pluviales que possible peuvent être évacuées en tenant compte des condi-tions du cours d’eau)</t>
  </si>
  <si>
    <t>Retenir et réutiliser localement l'eau de pluie</t>
  </si>
  <si>
    <t xml:space="preserve">Quantification de l'effet de différents éléments SUDS </t>
  </si>
  <si>
    <t>Déconnexion des eaux de tempête de l'égout</t>
  </si>
  <si>
    <t>Etude de la ligne de côte (L'objectif du projet est d'apporter des données précises sur le profil côtier de la commune enafin de pouvoir évaluer dans quelles zones il est nécessaire de renforcer la protection du littoral).</t>
  </si>
  <si>
    <t>Possibilité de mettre un excédent de sol à utiliser en adaptation climatique</t>
  </si>
  <si>
    <r>
      <t xml:space="preserve">La ville </t>
    </r>
    <r>
      <rPr>
        <b/>
        <sz val="16"/>
        <color rgb="FF000000"/>
        <rFont val="Calibri"/>
        <family val="2"/>
        <scheme val="minor"/>
      </rPr>
      <t>remplit la table des eaux souterraines</t>
    </r>
    <r>
      <rPr>
        <sz val="16"/>
        <color rgb="FF000000"/>
        <rFont val="Calibri"/>
        <family val="2"/>
        <scheme val="minor"/>
      </rPr>
      <t>. 1) Empêcher les bas niveaux d'eau souterraine à la suite de travaux de construction, 2) Compléter la nappe phréatique dans chaque projet d'espace public, 3) Engager quartiers dans l'adoucissement des rues et des places et optez pour plus d'eau dans la (re) construction de l'espace publique vert.</t>
    </r>
  </si>
  <si>
    <t>Mettre en œuvre le mémorandum de vision `` L'eau dans la ville '' et poursuite de l'élaboration du plan d'eau</t>
  </si>
  <si>
    <t>Prévenir la déshydratation: Les nouveaux projets de développement urbain seront neutres en eau. L'utilisation des eaux souterraines et de l'eau du robinet est en baisse.</t>
  </si>
  <si>
    <r>
      <rPr>
        <b/>
        <sz val="16"/>
        <color theme="1"/>
        <rFont val="Calibri"/>
        <family val="2"/>
        <scheme val="minor"/>
      </rPr>
      <t>Eco-pâturage.</t>
    </r>
    <r>
      <rPr>
        <sz val="16"/>
        <color theme="1"/>
        <rFont val="Calibri"/>
        <family val="2"/>
        <scheme val="minor"/>
      </rPr>
      <t xml:space="preserve"> La Ville souhaite expérimenter l’éco-pâturage pour la tonte de certaines parcelles et espaces verts.</t>
    </r>
    <r>
      <rPr>
        <b/>
        <sz val="16"/>
        <color theme="1"/>
        <rFont val="Calibri"/>
        <family val="2"/>
        <scheme val="minor"/>
      </rPr>
      <t xml:space="preserve"> </t>
    </r>
  </si>
  <si>
    <t>Capture de CO2 dans les espaces verts</t>
  </si>
  <si>
    <t xml:space="preserve">Déchets </t>
  </si>
  <si>
    <t xml:space="preserve">Transport    </t>
  </si>
  <si>
    <t>Communication pour sensibiliser les personnes d'Amsterdam des problèmes entourant la chaleur, où se trouvent les des endroits frais, et les mesures qu'ils peuvent prendre eux-mêmes dans et autour de leur maison</t>
  </si>
  <si>
    <t>Protection citoyenne</t>
  </si>
  <si>
    <r>
      <t xml:space="preserve">La ville veut avoir une </t>
    </r>
    <r>
      <rPr>
        <b/>
        <sz val="16"/>
        <color rgb="FF000000"/>
        <rFont val="Calibri"/>
        <family val="2"/>
        <scheme val="minor"/>
      </rPr>
      <t>réponse solide sur les climats extrêmes</t>
    </r>
    <r>
      <rPr>
        <sz val="16"/>
        <color rgb="FF000000"/>
        <rFont val="Calibri"/>
        <family val="2"/>
        <scheme val="minor"/>
      </rPr>
      <t>. 1) Les pompiers se préparent aux extrêmes climatiques. Le projet Stadslab 2050 a commencé à examiner comment les citoyens peuvent être autonomes augmenté dans les extrêmes climatiques.</t>
    </r>
  </si>
  <si>
    <t>Planification des catastrophes</t>
  </si>
  <si>
    <t>Une ville qui anticipe et agit face aux vagues de chaleur et risques d’incendies (Des îlots et parcours de fraîcheur à Paris; Une circulation automobile limitée en conditions caniculaires; Un risque incendie anticipé sur l’espace public)</t>
  </si>
  <si>
    <t>Systèmes d'alerte</t>
  </si>
  <si>
    <t xml:space="preserve">Tourisme </t>
  </si>
  <si>
    <t>Gouvernance d'adaptation</t>
  </si>
  <si>
    <t>Élargissement de la conception adaptative au climat dans des différents points de la ville</t>
  </si>
  <si>
    <t>Transmission des connaissances au public / entreprises sur les options de protection climatique</t>
  </si>
  <si>
    <t>Analyse de vulnérabilité sécheresse et salinisation, stress thermique, les inondations et la vulnérabilité de la biodiversité</t>
  </si>
  <si>
    <t>Une ville qui prône la résilience par la solidarité, l’inclusion et la mobilisation de la société civile</t>
  </si>
  <si>
    <t>Planification et mise en œuvre des solutions du plan b dans la Ville de Copenhague</t>
  </si>
  <si>
    <t>Intégration structurelle dans les activités et la gestion</t>
  </si>
  <si>
    <t xml:space="preserve">Continuer à se concentrer sur les projets pilotes d'adaptation au climat </t>
  </si>
  <si>
    <t>Nouveux modèles de financement pour l'adaptation climatique</t>
  </si>
  <si>
    <t>Stimulation et soutien des projects innovants</t>
  </si>
  <si>
    <t>Évaluation des mesures d'adaptation au climat déjà prises projet de mesures dans le domaine public</t>
  </si>
  <si>
    <t>Dévélopper un outil pour l'aide a la decision (développer des méthodes d'aide à la décision sur l'investissement à long terme.dans l'adaptation au climat)</t>
  </si>
  <si>
    <t>Partage des connaissances et communication</t>
  </si>
  <si>
    <t>Nous utilisons le patrimoine de la ville pour en créer de nouveaux tester des techniques d'adaptation au climat au niveau du bâtiment</t>
  </si>
  <si>
    <t>Enquêter et surveiller</t>
  </si>
  <si>
    <t>Mettre en œuvre des exemples de projets prévus sur l'adaptation au climat dans le domaine public</t>
  </si>
  <si>
    <t>Mesures visant la participation et sensibilisation citoyenne</t>
  </si>
  <si>
    <r>
      <rPr>
        <b/>
        <sz val="16"/>
        <color theme="1"/>
        <rFont val="Calibri"/>
        <family val="2"/>
        <scheme val="minor"/>
      </rPr>
      <t xml:space="preserve">Ensemble pour le climat. </t>
    </r>
    <r>
      <rPr>
        <sz val="16"/>
        <color theme="1"/>
        <rFont val="Calibri"/>
        <family val="2"/>
        <scheme val="minor"/>
      </rPr>
      <t xml:space="preserve"> •Organiser un évènement de sensibilisation sur les enjeux climatiques par an
• Communiquer sur les projets et actions lancés dans le cadre du plan climat de la Ville
• Relancer une consultation citoyenne (idées, nouvelles actions)</t>
    </r>
  </si>
  <si>
    <r>
      <rPr>
        <b/>
        <sz val="16"/>
        <color theme="1"/>
        <rFont val="Calibri"/>
        <family val="2"/>
        <scheme val="minor"/>
      </rPr>
      <t>Sensibiliser et informer.</t>
    </r>
    <r>
      <rPr>
        <sz val="16"/>
        <color theme="1"/>
        <rFont val="Calibri"/>
        <family val="2"/>
        <scheme val="minor"/>
      </rPr>
      <t xml:space="preserve"> Une communication permanente est nécessaire pour que le Gentenaar s'informe sur les technologies en évolution rapide, telles que les pompes à chaleur, les systèmes et les options de connexion à un réseau de chaleur, etc.</t>
    </r>
  </si>
  <si>
    <t>La Ville de Paris entend provoquer
et anticiper l’introduction de nouvelles
technologies via des appels à projets, des défis
sur la recherche et le développement et la mise
à disposition de fonds pour la concrétisation
des projets à fort potentiel.</t>
  </si>
  <si>
    <t>Budget</t>
  </si>
  <si>
    <r>
      <rPr>
        <b/>
        <sz val="16"/>
        <color theme="1"/>
        <rFont val="Calibri"/>
        <family val="2"/>
        <scheme val="minor"/>
      </rPr>
      <t>Un budget participatif vert.</t>
    </r>
    <r>
      <rPr>
        <sz val="16"/>
        <color theme="1"/>
        <rFont val="Calibri"/>
        <family val="2"/>
        <scheme val="minor"/>
      </rPr>
      <t xml:space="preserve">  Mettre en place un budget participatif de 200 000 euros pour financer le développement de projets de végétalisation du territoire.</t>
    </r>
  </si>
  <si>
    <r>
      <rPr>
        <b/>
        <sz val="16"/>
        <color theme="1"/>
        <rFont val="Calibri"/>
        <family val="2"/>
        <scheme val="minor"/>
      </rPr>
      <t>Le personnel s'engage pour le climat</t>
    </r>
    <r>
      <rPr>
        <sz val="16"/>
        <color theme="1"/>
        <rFont val="Calibri"/>
        <family val="2"/>
        <scheme val="minor"/>
      </rPr>
      <t xml:space="preserve">. Engager le personnel de la Ville dans des activités de sensibilisation au développement durable. </t>
    </r>
  </si>
  <si>
    <t>Informer les habitants de Gand l'enthousiasme pour l'adoucissement et le verdissement</t>
  </si>
  <si>
    <r>
      <rPr>
        <b/>
        <sz val="16"/>
        <color theme="1"/>
        <rFont val="Calibri"/>
        <family val="2"/>
        <scheme val="minor"/>
      </rPr>
      <t>We are the change.</t>
    </r>
    <r>
      <rPr>
        <sz val="16"/>
        <color theme="1"/>
        <rFont val="Calibri"/>
        <family val="2"/>
        <scheme val="minor"/>
      </rPr>
      <t xml:space="preserve"> Des actions d'information et de sensibilisation visant la thématique énergie/climat</t>
    </r>
  </si>
  <si>
    <t>Les Gentenaars participent aux événements des rues résistantes au climat</t>
  </si>
  <si>
    <r>
      <rPr>
        <b/>
        <sz val="16"/>
        <color theme="1"/>
        <rFont val="Calibri"/>
        <family val="2"/>
        <scheme val="minor"/>
      </rPr>
      <t>Baby boom.</t>
    </r>
    <r>
      <rPr>
        <sz val="16"/>
        <color theme="1"/>
        <rFont val="Calibri"/>
        <family val="2"/>
        <scheme val="minor"/>
      </rPr>
      <t xml:space="preserve"> Pour chaque naissance de Bruxellois.e.s sur le territoire de la Ville de Bruxelles, un arbre sera planté dans un pays du Sud.</t>
    </r>
  </si>
  <si>
    <t>Route de l'adaptation climatique à travers Gand</t>
  </si>
  <si>
    <r>
      <rPr>
        <b/>
        <sz val="16"/>
        <color theme="1"/>
        <rFont val="Calibri"/>
        <family val="2"/>
        <scheme val="minor"/>
      </rPr>
      <t>Des espaces citoyens.</t>
    </r>
    <r>
      <rPr>
        <sz val="16"/>
        <color theme="1"/>
        <rFont val="Calibri"/>
        <family val="2"/>
        <scheme val="minor"/>
      </rPr>
      <t xml:space="preserve"> La Ville souhaite mettre à disposition des associations et groupes de citoyens des locaux inoccupés pour favoriser les initiatives durables. </t>
    </r>
  </si>
  <si>
    <r>
      <rPr>
        <b/>
        <sz val="16"/>
        <color theme="1"/>
        <rFont val="Calibri"/>
        <family val="2"/>
        <scheme val="minor"/>
      </rPr>
      <t xml:space="preserve">Sensibilisation des commerçants. </t>
    </r>
    <r>
      <rPr>
        <sz val="16"/>
        <color theme="1"/>
        <rFont val="Calibri"/>
        <family val="2"/>
        <scheme val="minor"/>
      </rPr>
      <t>La Ville souhaite organiser des workshops pour sensibiliser les commerçants aux économies d’énergie.</t>
    </r>
  </si>
  <si>
    <r>
      <rPr>
        <b/>
        <sz val="16"/>
        <color theme="1"/>
        <rFont val="Calibri"/>
        <family val="2"/>
        <scheme val="minor"/>
      </rPr>
      <t>BXL ECODATA.</t>
    </r>
    <r>
      <rPr>
        <sz val="16"/>
        <color theme="1"/>
        <rFont val="Calibri"/>
        <family val="2"/>
        <scheme val="minor"/>
      </rPr>
      <t xml:space="preserve"> Données sur la consommation d'énergie, d'eau , de l'évolution d’ilots de chaleur urbain et des inondations récoltées et mises en disposition publique</t>
    </r>
  </si>
  <si>
    <t>Suivi du degré de chaussée à Gand</t>
  </si>
  <si>
    <t>Mettre en place une infrastructure numérique pour les données publiques</t>
  </si>
  <si>
    <r>
      <rPr>
        <b/>
        <sz val="16"/>
        <color theme="1"/>
        <rFont val="Calibri"/>
        <family val="2"/>
        <scheme val="minor"/>
      </rPr>
      <t>Mon école, mon énergie.</t>
    </r>
    <r>
      <rPr>
        <sz val="16"/>
        <color theme="1"/>
        <rFont val="Calibri"/>
        <family val="2"/>
        <scheme val="minor"/>
      </rPr>
      <t xml:space="preserve"> Animation de concours dans les écoles pour encourager la réduction de consommation d'énergie.</t>
    </r>
  </si>
  <si>
    <r>
      <rPr>
        <b/>
        <sz val="16"/>
        <color theme="1"/>
        <rFont val="Calibri"/>
        <family val="2"/>
        <scheme val="minor"/>
      </rPr>
      <t>Mobilité scolaire active</t>
    </r>
    <r>
      <rPr>
        <sz val="16"/>
        <color theme="1"/>
        <rFont val="Calibri"/>
        <family val="2"/>
        <scheme val="minor"/>
      </rPr>
      <t xml:space="preserve">. La Ville souhaite diversifier les moyens de transports scolaires et encourager une mobilité scolaire active (vélo, marche). </t>
    </r>
  </si>
  <si>
    <r>
      <rPr>
        <b/>
        <sz val="16"/>
        <color theme="1"/>
        <rFont val="Calibri"/>
        <family val="2"/>
        <scheme val="minor"/>
      </rPr>
      <t xml:space="preserve">BXL CARTO. </t>
    </r>
    <r>
      <rPr>
        <sz val="16"/>
        <color theme="1"/>
        <rFont val="Calibri"/>
        <family val="2"/>
        <scheme val="minor"/>
      </rPr>
      <t xml:space="preserve">Via le site Internet de la Ville, la population pourra facilement accéder à une carte répertoriant les différents commerces, cen- tres d’intérêt durables du territoire. </t>
    </r>
  </si>
  <si>
    <t>HLM</t>
  </si>
  <si>
    <t>Ranking</t>
  </si>
  <si>
    <t>Feasibility</t>
  </si>
  <si>
    <t>SWOT</t>
  </si>
  <si>
    <t>S</t>
  </si>
  <si>
    <t>W</t>
  </si>
  <si>
    <t>Gaz_réfrigerants</t>
  </si>
  <si>
    <t>Diesel</t>
  </si>
  <si>
    <t>T</t>
  </si>
  <si>
    <t>Essence</t>
  </si>
  <si>
    <t>Atelier et note cadre</t>
  </si>
  <si>
    <t>Gaz réfrigérants</t>
  </si>
  <si>
    <t>Grise</t>
  </si>
  <si>
    <t>Verte</t>
  </si>
  <si>
    <t>Panneaux solaires</t>
  </si>
  <si>
    <t>Train</t>
  </si>
  <si>
    <t>Vols</t>
  </si>
  <si>
    <t>Voiture personnelle</t>
  </si>
  <si>
    <t>Moto</t>
  </si>
  <si>
    <t>Taxi</t>
  </si>
  <si>
    <t>Bus scolaire</t>
  </si>
  <si>
    <t>Organiser des campagnes de sensibilisation à destination des habitants (territoire)</t>
  </si>
  <si>
    <t>4.3.4</t>
  </si>
  <si>
    <t>Acheter du matériel de bureau en seconde main</t>
  </si>
  <si>
    <t>Développer une stratégie claire pour des achats durables en tenant compte du réemploi</t>
  </si>
  <si>
    <t>4.3.5</t>
  </si>
  <si>
    <t>Mettre en place une procédure de réemploi du matériel inutilisé au sein de l'administration</t>
  </si>
  <si>
    <t xml:space="preserve">Offrir majoritairement de la nourriture végétarienne au sein de l'administration communales et les évènements communaux. </t>
  </si>
  <si>
    <t xml:space="preserve">Mettre en valeur et soutenir les commerces de proximité (artisanal, circuit court) et durables (zéro déchet, de saison, bio, équitable…) </t>
  </si>
  <si>
    <t>Favoriser les achats en circuits courts/commerces de proximité</t>
  </si>
  <si>
    <t>2.2.4.1</t>
  </si>
  <si>
    <t>Proposer des formations vélo/vélo cargo aux agents communaux qui en ont la nécessité (intégration dans le plan de formation)</t>
  </si>
  <si>
    <t>Réaliser un challenge de mobilité active pour l'ensemble de l'administration</t>
  </si>
  <si>
    <t>Encourager les rangs piétonier et les rues scolaires là où c’est possible (et les plans de déplacements scolaires si c'est pas une obligation) pour les écoles communales (écoles libres via action territoire)</t>
  </si>
  <si>
    <t>2.3.4.4</t>
  </si>
  <si>
    <t>Augmenter la part des enfants qui viennent à l'école autrement qu'en voiture sur base des plans de déplacements scolaires</t>
  </si>
  <si>
    <r>
      <rPr>
        <sz val="11"/>
        <color rgb="FFFF0000"/>
        <rFont val="Calibri"/>
        <family val="2"/>
        <scheme val="minor"/>
      </rPr>
      <t xml:space="preserve">Réduire, diversifier et </t>
    </r>
    <r>
      <rPr>
        <sz val="11"/>
        <color theme="1"/>
        <rFont val="Calibri"/>
        <family val="2"/>
        <scheme val="minor"/>
      </rPr>
      <t>électrifier le charroi communal</t>
    </r>
  </si>
  <si>
    <r>
      <t xml:space="preserve">Stimuler l’utilisation de véhicules </t>
    </r>
    <r>
      <rPr>
        <sz val="11"/>
        <color rgb="FFFF0000"/>
        <rFont val="Calibri"/>
        <family val="2"/>
        <scheme val="minor"/>
      </rPr>
      <t>et vélos</t>
    </r>
    <r>
      <rPr>
        <sz val="11"/>
        <color theme="1"/>
        <rFont val="Calibri"/>
        <family val="2"/>
        <scheme val="minor"/>
      </rPr>
      <t xml:space="preserve"> partagés et électriques via des campagnes de sensibilisation et des groupes de réflexion</t>
    </r>
  </si>
  <si>
    <t>2.2.7</t>
  </si>
  <si>
    <t>Mettre en place une flotte de vélos cargos électriques</t>
  </si>
  <si>
    <t>Mettre en place un leasing vélo pour le personnel communal</t>
  </si>
  <si>
    <t>Valoriser les invendus lors des événements communaux ( magasins solidaires, restaurants sociaux, doggy bag, distribution grand public via réseaux sociaux...)</t>
  </si>
  <si>
    <t>Mettre en place un système de don ou revente de vêtements au sein des crèches communales</t>
  </si>
  <si>
    <t xml:space="preserve">Mettre en place un programme obligatoire au sein des établissements scolaires en vue d'atteindre l'objectif d'école zéro déchet (sauf inévitables) </t>
  </si>
  <si>
    <t>Réaliser des ateliers d'upcycling au sein de l'administration</t>
  </si>
  <si>
    <t>7.1.2.3</t>
  </si>
  <si>
    <t>Planter des arbres dans les cours d'écoles communales (canopée pour stratégie d'adaptation)</t>
  </si>
  <si>
    <t>Analyser l'utilisation par défaut d'un moteur de recherche eco et responsable au sein de l’administration</t>
  </si>
  <si>
    <t>Intégrer la transition durable (zéro déchet, good food, mobilité durable, énergie, circularité, commerce équitable…) dans la culture d’entreprise et sensibiliser le personnel via des activités régulières</t>
  </si>
  <si>
    <t>5.2.5.1</t>
  </si>
  <si>
    <t>Réaliser une étude pour un projet pilote dans une crèche communale qui deviendrait une crèche 100% couches lavables</t>
  </si>
  <si>
    <r>
      <rPr>
        <sz val="11"/>
        <color rgb="FFFF0000"/>
        <rFont val="Calibri"/>
        <family val="2"/>
        <scheme val="minor"/>
      </rPr>
      <t>PST 8.4.3</t>
    </r>
    <r>
      <rPr>
        <sz val="11"/>
        <color theme="1"/>
        <rFont val="Calibri"/>
        <family val="2"/>
        <scheme val="minor"/>
      </rPr>
      <t xml:space="preserve"> Etablir le Plan Arbres communal 2023-2030 </t>
    </r>
  </si>
  <si>
    <t>Thématique/Thema</t>
  </si>
  <si>
    <t>Priorité Stratégique/Strategische prioriteit</t>
  </si>
  <si>
    <t>Objectif stratégique/Strategische doelstelling</t>
  </si>
  <si>
    <t>Actions/Acties</t>
  </si>
  <si>
    <t>Consommation d'énergie et d'eau des bâtiments/Water- en Energieverbruik van gebouwen</t>
  </si>
  <si>
    <r>
      <t xml:space="preserve">Chauffage des Ecoles et Crèches (20%) + Chauffage des bâtiments communales (15%) </t>
    </r>
    <r>
      <rPr>
        <b/>
        <sz val="11"/>
        <color rgb="FF00B050"/>
        <rFont val="Calibri"/>
        <family val="2"/>
        <scheme val="minor"/>
      </rPr>
      <t>(35%)</t>
    </r>
    <r>
      <rPr>
        <sz val="11"/>
        <color theme="1"/>
        <rFont val="Calibri"/>
        <family val="2"/>
        <scheme val="minor"/>
      </rPr>
      <t>/Verwarming Scholen en Kinderdagverblijven (20%) + Verwarming gemeentegebouwen (15%) (</t>
    </r>
    <r>
      <rPr>
        <b/>
        <sz val="11"/>
        <color rgb="FF00B050"/>
        <rFont val="Calibri"/>
        <family val="2"/>
        <scheme val="minor"/>
      </rPr>
      <t>35%</t>
    </r>
    <r>
      <rPr>
        <sz val="11"/>
        <color theme="1"/>
        <rFont val="Calibri"/>
        <family val="2"/>
        <scheme val="minor"/>
      </rPr>
      <t>)</t>
    </r>
  </si>
  <si>
    <t>Rationeel gebruik van de ruimte</t>
  </si>
  <si>
    <t>De energieperformantie van gebouwen verbeteren</t>
  </si>
  <si>
    <t>Shift naar koolstofarme of hernieuwbare energie</t>
  </si>
  <si>
    <t>Apparaten en infrastructuur</t>
  </si>
  <si>
    <t xml:space="preserve">Sensibilisering en gedragsverandering bij beheerders en gebruikers van gemeentegebouwen </t>
  </si>
  <si>
    <t>Goede bestuurspraktijken invoeren en een managementsysteem dat continue verbetering mogelijk maakt</t>
  </si>
  <si>
    <t>Goede praktijken tussen gemeenten uitwisselen</t>
  </si>
  <si>
    <t>Een monitoring van het reeële verbruik invoeren alsook een energieboekhouding (Systeem NR Click) in samenwerking met Sibelga om abnormaal verbruik te identificeren en te reageren indien nodig</t>
  </si>
  <si>
    <t>De invoering bij 3 sites per jaar wordt verdergezet</t>
  </si>
  <si>
    <t>Na renovatiewerken in een kinderdagverblijf, de luchtkwaliteit binnen laten nachecken en problemen oplossen (controlele door de aannemer in de openbare aanbesteding opnemen)</t>
  </si>
  <si>
    <t>Regelmatig onderhoud van leidingen, roosters en ventilatiesysteem - opdracht in 2024: ventilatiesysteem om de 6 maand, roosters elk jaar  (toe te voegen aan het lastenboek ramen), leidingen om de 10 jaar</t>
  </si>
  <si>
    <t>Opleidingen organiseren en het personeel dat de gebouwen gebruikt, sensibiliseren</t>
  </si>
  <si>
    <t>aanvullende actie 4AD1: ideeën voor energiebesparingen op intranet posten</t>
  </si>
  <si>
    <t>aanvullende actie 4AD1: gebruikers sensibiliseren over het gebruik van verwarming (vb. t° meten…) met algemene richtlijnen goedgekeurd door het College/DICO</t>
  </si>
  <si>
    <t>Een ecoteam oprichten</t>
  </si>
  <si>
    <t>Optimaal gebruik van beschikbare gewestelijke subsidies (vb PPW Prioritair Programma voor Werken)</t>
  </si>
  <si>
    <t xml:space="preserve">In studieopdrachten een verplichting opnemen om de koolstofimpact van verschillende scenario's te evalueren </t>
  </si>
  <si>
    <t>Menselijke en financiële middelen voorzien om de voorgestelde acties te realiseren (prioriteiten bepalen in functie van de te bereiken doelstellingen)</t>
  </si>
  <si>
    <r>
      <t xml:space="preserve">Déplacements domicile travail (agents communaux, enseignant, crèches) </t>
    </r>
    <r>
      <rPr>
        <b/>
        <sz val="11"/>
        <color rgb="FF00B050"/>
        <rFont val="Calibri"/>
        <family val="2"/>
        <scheme val="minor"/>
      </rPr>
      <t>(23%)</t>
    </r>
    <r>
      <rPr>
        <sz val="11"/>
        <color theme="1"/>
        <rFont val="Calibri"/>
        <family val="2"/>
        <scheme val="minor"/>
      </rPr>
      <t>/Werk-thuisverplaatsingen (gemeentepersoneel, leerkrachten, kinderdagverblijven) (23%)</t>
    </r>
  </si>
  <si>
    <t>OS1 Diminuer la consommation d'énergie et d'eau des infrastructures communales, CPAS et logements sociaux/SD 1 Energie-en waterverbruik van gemeentelijke infrastructuur verminderen, OCMW en sociale woningen</t>
  </si>
  <si>
    <t>OP/OD 1.4</t>
  </si>
  <si>
    <t>OP/OD 1.5</t>
  </si>
  <si>
    <t>OP/OD 1.3</t>
  </si>
  <si>
    <t>OP/OD 1.2</t>
  </si>
  <si>
    <t>OP/OD 1.1</t>
  </si>
  <si>
    <t>OP/OD 1.6</t>
  </si>
  <si>
    <t>OP/OD 1.7</t>
  </si>
  <si>
    <t>OP/OD 2.1</t>
  </si>
  <si>
    <t>OP/OD 2.2</t>
  </si>
  <si>
    <t>OP/OD 2.3</t>
  </si>
  <si>
    <t>Operationele doelstelling</t>
  </si>
  <si>
    <t>Objectif opérationnel</t>
  </si>
  <si>
    <t>Noodzaak voor verplaatsingen verminderen</t>
  </si>
  <si>
    <t>Het gemeentelijk wagenpark verminderen, diversifiëren en elektrificeren</t>
  </si>
  <si>
    <t>De modale transitie promoten om de impact van thermische voertuigen te verminderen</t>
  </si>
  <si>
    <t>Telewerk aanmoedigen om werk-thuisverplaatsingen te verminderen (voorgestelde regeling 2d/week voor functies waarbij telewerk mogelijk is)</t>
  </si>
  <si>
    <t>Het aantal kilometers verminderen, afgelegd m.b.t. het transport van afval van openbare reinheid</t>
  </si>
  <si>
    <t>Groepsbestellingen organiseren (vb Colruyt) om het transport door de magazijniers te verminderen</t>
  </si>
  <si>
    <t>PST 8.2.1. het gemeentelijk wagenpark moderniseren (norm Euro 5, aankoop van hybride /elektrische voertuigen geprogrameerd), de voorkeur geven aan leasing, deelauto's om aan de Low Emission Zone te beantwoorden (einde van thermische wagens ten laatste in 2035)</t>
  </si>
  <si>
    <t>Elektrische laadpalen installeren gekoppeld aan de productie van hernieuwbare energie</t>
  </si>
  <si>
    <t>een deelsysteem oprichten tussen gemeenten voor het gebruik van grote voertuigen</t>
  </si>
  <si>
    <t>Het gebruik van elektrische deelvoertuigen en -fietsen promoten via sensibilisatiecampagnes en denkgroepen</t>
  </si>
  <si>
    <t>Fiets/cargofietsopleidingen voorstellen aan leden van het gemeentepersoneel die daar behoefte aan hebben (integratie in het opleidingsplan)</t>
  </si>
  <si>
    <t>Een rationalisatieplan opstellen voor het gemeentelijk wagenparkt om de voertuigenvloot te verminderen</t>
  </si>
  <si>
    <t>Een fietscargovloot invoeren</t>
  </si>
  <si>
    <t>Een challenge rond actieve mobiliteit invoeren voor het hele gemeentepersoneel</t>
  </si>
  <si>
    <t>Voetgangersrijen en schoolstraten (en schoolvervoerplannen indien het geen verplichting is) waar mogelijk aanmoedigen voor gemeentescholen (voor vrije scholen via acties Grondgebied)</t>
  </si>
  <si>
    <t>Bestaande voetgangersrangen consolideren</t>
  </si>
  <si>
    <t>Een fietsleasing voor het gemeentepersoneel invoeren</t>
  </si>
  <si>
    <t>De transitie naar een andere vervoerswijze dan de wagen stimuleren voor werk-thuisverplaatsingen (campagne fietspremie, ...)</t>
  </si>
  <si>
    <t>Elektrische fietsen /villo elektrische fietsen ter beschikking stellen van het onderwijspersoneel/kinderdagverblijven</t>
  </si>
  <si>
    <t>Aantal schoolstraten verhogen</t>
  </si>
  <si>
    <t>Het aantal schoolvervoerplannen verhogen</t>
  </si>
  <si>
    <t>Het aandeel van kinderen dat niet met de auto naar school komt verhogen op basis van de schoolvervoerplannen</t>
  </si>
  <si>
    <t>Gebruik maken van een koolstofneutrale postverdeling: fietskoerierdienst, label Bpost</t>
  </si>
  <si>
    <t>PST 1.1.2 Evolueren naar een dynamishe werkomgeving (Dynamic office)</t>
  </si>
  <si>
    <t>Het gebruik van verwarming rationaliseren (lokalen verwarmen in functie van het gebruik van het gebouw)</t>
  </si>
  <si>
    <t>Het actie PLAGE uitvoeren om de energetische performantie van gebouwen te verbeteren</t>
  </si>
  <si>
    <t>Nieuwe gebouwen in passief of BEN standaard bouwen</t>
  </si>
  <si>
    <t>School Poelbos</t>
  </si>
  <si>
    <t>School Petis Ballons</t>
  </si>
  <si>
    <t>Arte Factory (Rivierendreef)</t>
  </si>
  <si>
    <t>Nieuw kinderdagverblijf (Duurzaam wijkcontract)</t>
  </si>
  <si>
    <t>Nieuw wijkhuis  (Duurzaam wijkcontract)</t>
  </si>
  <si>
    <t>Renovaties uitvoeren via Rénoclick, Sibelga</t>
  </si>
  <si>
    <t>Subsidie aanvraag voor Ribambelle</t>
  </si>
  <si>
    <t>Gunning Ribambelle + Subsidie aanvraag Fabiola + audit Bib + quick scan</t>
  </si>
  <si>
    <t>Werken Ribambelle + Studie en Vergunning Fabiola + Studie Biblio + Audit bijgebouw gemeentehuis</t>
  </si>
  <si>
    <t>Een isolatieprogramma voor de daken van gemeentegebouwen opstellen</t>
  </si>
  <si>
    <t>Dakisolatie van kinderdagverblijf Pouf en Caroline</t>
  </si>
  <si>
    <t>Dakisolatie van school Aurore</t>
  </si>
  <si>
    <t>Dakisolatie van de abdij van Dieleghem</t>
  </si>
  <si>
    <t>Dakisolatie van het hoofdgebouw van school Van Helmont + exploitatie van het dak ??</t>
  </si>
  <si>
    <t>Isolatie van andere gebouwen van Brel in functie van het Masterplan</t>
  </si>
  <si>
    <t>Nieuwe kleedkamers in het gemeentelijk sportcentrum</t>
  </si>
  <si>
    <r>
      <t>Isolatie van de</t>
    </r>
    <r>
      <rPr>
        <sz val="11"/>
        <rFont val="Calibri"/>
        <family val="2"/>
        <scheme val="minor"/>
      </rPr>
      <t xml:space="preserve"> turnzaal</t>
    </r>
    <r>
      <rPr>
        <sz val="11"/>
        <color theme="1"/>
        <rFont val="Calibri"/>
        <family val="2"/>
        <scheme val="minor"/>
      </rPr>
      <t xml:space="preserve"> van school Brel</t>
    </r>
  </si>
  <si>
    <t>Energie besparen door energieverslindende toestelles en oude verwarmingstoestellen te vervangen, te beginnen met de meest energieverslindende en vervuilende (verwarmingstoestellen op stookolie)</t>
  </si>
  <si>
    <t>De warmwaterproductie voor sanitair gebruik vervangen door een thermodynamische boiler + fotovoltaïsche productie</t>
  </si>
  <si>
    <t>Woningen Jules Lahaye 178</t>
  </si>
  <si>
    <t>Traditionele lampen op het einde van hun gebruikstermijn vervangen door LED lampen</t>
  </si>
  <si>
    <t>PST 8.3.1 Produceren van zonneenergie (fotovoltaïsch) op eigen kosten en door derde investeerderssysteem (School Champs des Tournesols, kinderdagverblijf Koningin Fabiola, school Clarté, school Poelbos, turnzaal school Jacques Brel)</t>
  </si>
  <si>
    <t>Champs des Tournesols (quid stabiliteit)</t>
  </si>
  <si>
    <t>Hoofdgebouw Aurore (na isolatie)</t>
  </si>
  <si>
    <t>Turnzaal Brel (na isolatie)</t>
  </si>
  <si>
    <t>Beroep doen op een 100% groene elektriciteitsleverancier voor alle gemeentegebouwen en het OCMW in het kader van een gemeenschappelijke opdracht met de andere gemeenten van de politiezone Brussel-West en nadenken over energiegemeenschappen en burgercoöperatieven</t>
  </si>
  <si>
    <t>Gasketels vervangen door warmtepompen (hybride) of andere innovatieve oplossingen volgens een te bepalen planning</t>
  </si>
  <si>
    <t>Kinderdagverblijf Koningin Fabiola</t>
  </si>
  <si>
    <t>Installatie van warmtepompen (hybride) of andere innovatieve oplossingen in alle nieuwe installaties waar het technisch mogelijk is</t>
  </si>
  <si>
    <t>School Arbre Ballon</t>
  </si>
  <si>
    <t>Aankoop van biogas of groene waterstof (direct of via systeem dat de oorsprong garandeert) om de doelstelling te behalen</t>
  </si>
  <si>
    <t>Gebouwen voorzien van waterbesparende apparaten (automatische kranen, WC met spoelkeuzeknop, enz.)</t>
  </si>
  <si>
    <t>Het aantal werkverplaatsingen per fiets en bakfiets/driewielbakfiets van het gemeentepersoneel verhogen en het nodige materiaal hiervoor aanschaffen</t>
  </si>
  <si>
    <t>Een warmteregeling invoeren voor de grootste stookruimtes</t>
  </si>
  <si>
    <r>
      <t>Alimentation dans les écoles et les crèches communales</t>
    </r>
    <r>
      <rPr>
        <b/>
        <sz val="11"/>
        <color rgb="FF00B050"/>
        <rFont val="Calibri"/>
        <family val="2"/>
        <scheme val="minor"/>
      </rPr>
      <t xml:space="preserve"> (10%)</t>
    </r>
    <r>
      <rPr>
        <sz val="11"/>
        <color theme="1"/>
        <rFont val="Calibri"/>
        <family val="2"/>
        <scheme val="minor"/>
      </rPr>
      <t>/Voeding in gemeentescholen en -kinderdagverblijven</t>
    </r>
    <r>
      <rPr>
        <b/>
        <sz val="11"/>
        <color rgb="FF00B050"/>
        <rFont val="Calibri"/>
        <family val="2"/>
        <scheme val="minor"/>
      </rPr>
      <t>(10%)</t>
    </r>
  </si>
  <si>
    <t xml:space="preserve">Consumptie van plantaardige producten promoten en vermindering van vlees/dierlijke producten </t>
  </si>
  <si>
    <t>Lokale en seizoensvoeding</t>
  </si>
  <si>
    <t>Duurzame voeding in het algemeen promoten</t>
  </si>
  <si>
    <t>Biologische producten promoten</t>
  </si>
  <si>
    <t>Voedselverspilling verminderen</t>
  </si>
  <si>
    <t>Gemeentepersoneel sensibiliseren voor duurzame voeding (biologisch, lokaal, zero waste,…), voor een vermindering van de vleesconsumptie en de consumptie van lokaal en duurzaam vlees via workshops, communicatie, opleiding…</t>
  </si>
  <si>
    <t>Het aantal vegetarische maaltijden in schoolcantines en kinderdagverblijven verhogen en het voorstel van een vegetarisch menu naar keuze overwegen</t>
  </si>
  <si>
    <t>Hoofdzakelijk vegetarische maaltijden aanbieden binnen het gemeentebestuur en op evenementen georganiseerd door de gemeente</t>
  </si>
  <si>
    <t>Voorkeur geven aan korte keten en seizoensgebonden voeding op gemeentelijke evenementen</t>
  </si>
  <si>
    <t>Jongeren sensibiliseren om lokaal en seizoensgebonden te eten via het installeren van moestuintjes in scholen en het organiseren van een Week van de Duurzame Voeding (grondgebied)</t>
  </si>
  <si>
    <t>seizoensgebonden recepten verspreiden via intranet</t>
  </si>
  <si>
    <t>lokale en seizoensgebonden producten voorstellen in scholen en kinderdagverblijven</t>
  </si>
  <si>
    <t>een catalogus "duurzame catering" opstellen voor evenementen met een lijst van lokale producenten</t>
  </si>
  <si>
    <t>Samenwerken met de Brusselse keukens om het label Good Food kantine te verkrijgen</t>
  </si>
  <si>
    <t>Beroep doen op elektrische foodtrucks met gezonde maaltijden voor evenementen</t>
  </si>
  <si>
    <t>Biologische producten voorstellen in scholen en kinderdagverblijven</t>
  </si>
  <si>
    <t>Beroep doen op lokale bio handelszaken voor gemeentelijke evenementen (niet enkel Colruyt)</t>
  </si>
  <si>
    <t>Onverkochte producten tijdens gemeentelijke evenementen valoriseren (via solidaire winkels, sociale restaurants, doggy bag, uitdeling naar een breed publiek via sociale media …)</t>
  </si>
  <si>
    <r>
      <t xml:space="preserve">Achat du matériel IT de l'administration </t>
    </r>
    <r>
      <rPr>
        <b/>
        <sz val="11"/>
        <color rgb="FF00B050"/>
        <rFont val="Calibri"/>
        <family val="2"/>
        <scheme val="minor"/>
      </rPr>
      <t>(6%)</t>
    </r>
    <r>
      <rPr>
        <sz val="11"/>
        <color theme="1"/>
        <rFont val="Calibri"/>
        <family val="2"/>
        <scheme val="minor"/>
      </rPr>
      <t>/Aankoop IT materiaal door gemeentebestuur (6%)</t>
    </r>
  </si>
  <si>
    <t>Delen en mutualisatie van producten/hulpmiddelen stimuleren "deeleconomie"</t>
  </si>
  <si>
    <t>Verbetering  van kennis en betere opvolging/maatregelen voor producten en aankopen (duurzame)</t>
  </si>
  <si>
    <t>Een duidelijke strategie uitstippelen voor duurzame aankopen rekening houdend met hergebruik</t>
  </si>
  <si>
    <t>Sensibilisering en gedragsverandering gelinkt aan duurzame aankopen</t>
  </si>
  <si>
    <t>Verpakkingsafval verminderen</t>
  </si>
  <si>
    <t>Individuele apparaten verminderen ten voordele van collectieve apparaten (kopieer- en kofiemachines) na hun levenscyclus</t>
  </si>
  <si>
    <t>Gemeenschappelijke aankoop/huur van machines met andere gemeentebesturen</t>
  </si>
  <si>
    <t>Een opslagruimte vrijmaken om gemeenschappelijke machines, materiaal en werfmateriaal onder te brengen</t>
  </si>
  <si>
    <t>Overschakelen op gewestelijke of hybride datacenters</t>
  </si>
  <si>
    <t>Een jaarlijkse inventaris in de diensten opstellen (nutteloze stock vermijden, relevant materiaal…)</t>
  </si>
  <si>
    <t>Een strategie uitwerken voor opdrachten/aankopen die prioritair duurzamer moeten (invoegen van ecologische, sociale, ethische en duurzame criteria)</t>
  </si>
  <si>
    <t>Mogelijkheden onderzoeken om nieuwe voorwerpen in andere materialen dan plastic te verkrijgen (clausule openbare aanbesteding)</t>
  </si>
  <si>
    <t>Een procedure opstarten om ongebruikt materiaal binnen het gemeentebestuur te hergebruiken</t>
  </si>
  <si>
    <t>2de hands bureaumateriaal aankopen</t>
  </si>
  <si>
    <t>Personeel sensibiliseren voor duurzame aankopen (tips &amp; tricks)</t>
  </si>
  <si>
    <t>Afval beperken bij grote aankopen (oververpakking vermijden)</t>
  </si>
  <si>
    <t>OP/OD 3.1</t>
  </si>
  <si>
    <t>OP/OD 3.2</t>
  </si>
  <si>
    <t>OP/OD 3.3</t>
  </si>
  <si>
    <t>OP/OD 3.4</t>
  </si>
  <si>
    <t>OP/OD 3.5</t>
  </si>
  <si>
    <t>OP/OD 4.1</t>
  </si>
  <si>
    <t>OP/OD 4.2</t>
  </si>
  <si>
    <t>OP/OD 4.3</t>
  </si>
  <si>
    <t>OP/OD 4.4</t>
  </si>
  <si>
    <t>OP/OD 4.5</t>
  </si>
  <si>
    <t>OP/OD 5.1</t>
  </si>
  <si>
    <t>OP/OD 5.2</t>
  </si>
  <si>
    <t>OP/OD 5.3</t>
  </si>
  <si>
    <t>OP/OD 5.4</t>
  </si>
  <si>
    <t>Hergebruik van materialen om afval te vermijden en circulaire economie te promoten, naar een zero waste gaan</t>
  </si>
  <si>
    <t>Verbetering  van kennis en betere opvolging/maatregelen voor energiebesparing in gebouwen</t>
  </si>
  <si>
    <t>Sensibilisering en gedragsverandering gelinkt aan circulaire economie en zero waste</t>
  </si>
  <si>
    <t>Aankoop van gemakkelijk te repareren meubilaire (meubilair ontworpen volgens eco concept)</t>
  </si>
  <si>
    <t>Grote affiches hergebruiken voor cadeauverpakkingen (vb. Kerstmis)</t>
  </si>
  <si>
    <t>een materialenlijst opstellen om zero waste evenementen te organiseren</t>
  </si>
  <si>
    <t>Procedures en manier van werken digitaliseren om papierverbruik te verminderen</t>
  </si>
  <si>
    <t>Vuilbakken voor kladpapier plaatsen bij de kopieermachines om kladpapier te verzamelen en er bloknota's van te maken (bloknota's beschikbaar in magazijn)</t>
  </si>
  <si>
    <t>herbruikbare luiers toestaan voor ouders die dit wensen (een homoloog model) in gemeentelijke kinderdagverblijven</t>
  </si>
  <si>
    <t>een systeem opstellen voor giften of herverkoop van kledij  in gemeentelijke kinderdagverblijven</t>
  </si>
  <si>
    <t>een systeem om organisch afval in gemeentelijke gebouwen te sorteren (compost of oranje bak) invoeren</t>
  </si>
  <si>
    <t>PST 8.5.1. Een kringloopcentrum oprichten en recyclage verbeteren dankzij het nieuwe Recypark in Jette</t>
  </si>
  <si>
    <t>Recyclage vergemakkelijken dankzij het nieuwe Recypark in Jette</t>
  </si>
  <si>
    <t xml:space="preserve">Naar een werking zero waste binnen het gemeentebestuur gaan, nadenken over afval dat kan vermeden worden en een handvest opstellen: sorteren, materiaal, catering, enz. en het personeel sensibiliseren rond zero waste </t>
  </si>
  <si>
    <t>Een inventaris opstellen van goederen die binnenkomen en buitengaan en de contracten updaten</t>
  </si>
  <si>
    <t xml:space="preserve">sensibiliseren rond uitprinten in zwart en recto verso </t>
  </si>
  <si>
    <t>De hierarchie sensibiliseren rond de nieuwe aanpak</t>
  </si>
  <si>
    <t>Het personeel sensibiliseren rond zero waste lunches (groepsaankoop bij collega's die herbruikbare verpakking maken, of andere)</t>
  </si>
  <si>
    <t>Een "welcome pack" duurzame ontwikkeling voorzien voor nieuwe personeelsleden</t>
  </si>
  <si>
    <t>Het personeel sensibilisren rond het gebruik van de Jetse weggeefplek</t>
  </si>
  <si>
    <t>sensibiliseringscampagnes organiseren voor de Jettenaren (grondgebied)</t>
  </si>
  <si>
    <t>De schoonmaakploegen een opleiding geven over afvalsorteren /zero waste in scholen</t>
  </si>
  <si>
    <t>OP/OD 6.1</t>
  </si>
  <si>
    <t>OP/OD 6.2</t>
  </si>
  <si>
    <t>OP/OD 6.3</t>
  </si>
  <si>
    <t>OP/OD 6.4</t>
  </si>
  <si>
    <t>OP/OD 6.5</t>
  </si>
  <si>
    <t>Verlenging van gebruiksduur via hergebruik en herstelling van materialen en producten</t>
  </si>
  <si>
    <t>Circulaire economie voor nieuwbouw en renovatie</t>
  </si>
  <si>
    <t>Sensibilisering en gedragsverandering gelinkt aan duurzame en circulaire economie</t>
  </si>
  <si>
    <t>Een procedure opstarten om te vermijden dat geclasseerd herbruikbaar materiaal wordt weggegooid (zie kringloopcentrum)</t>
  </si>
  <si>
    <t>Objecten repareren</t>
  </si>
  <si>
    <t>Workshops rond upcycling organiseren binnen het gemeentebestuur</t>
  </si>
  <si>
    <t>Circulaire economie in lastenboeken van nieuwbouw en renovatie opnemen (gebruik van hulpmiddel Totem)</t>
  </si>
  <si>
    <t xml:space="preserve">Buurthandelszaken (ambachtelijk, korte keten) en duurzame handelszaken (zero waste, seizoensgebonden, bio en fairtrade ...aanbod) ondersteunen en valoriseren </t>
  </si>
  <si>
    <t>Bevoordelen van aankopen via korte keten en buurtwinkels</t>
  </si>
  <si>
    <t>Bevoordelen van buurthandelszaken, lokale en duurzame producten</t>
  </si>
  <si>
    <t>Een enquête afnemen onder het gemeentepersoneel om negatieve gewoontes te identificeren</t>
  </si>
  <si>
    <t>Een sensibiliseringscampagne rond circulaire economie realiseren</t>
  </si>
  <si>
    <t>Kleine aankondigingen op intranet valoriseren en de zichtbaarheid vergroten</t>
  </si>
  <si>
    <t>OP/OD 7.1</t>
  </si>
  <si>
    <t>OP/OD 7.2</t>
  </si>
  <si>
    <t>OP/OD 7.3</t>
  </si>
  <si>
    <t>OP/OD 7.4</t>
  </si>
  <si>
    <t>Verhoging van groene oppervlakte</t>
  </si>
  <si>
    <t>Sensibilisering en gedragsverandering m.b.t. de biodiversiteit</t>
  </si>
  <si>
    <t>shift naar soorten aangepast aan het nieuwe klimaat</t>
  </si>
  <si>
    <t>KPI bomen</t>
  </si>
  <si>
    <t>Het daktuinproject Leon Theodorstraat 108 afronden</t>
  </si>
  <si>
    <t>natuurzones integreren in herinrichtingsprojecten van scholen</t>
  </si>
  <si>
    <t>Vergroening speelplaats Clarté</t>
  </si>
  <si>
    <t>Vergroening speelplaats Tournesol</t>
  </si>
  <si>
    <t>Bomen planten op speelplaatsen van gemeentescholen (boomkruin in functie van adaptatiestrategie)</t>
  </si>
  <si>
    <t>Vergroening van de voorgevel van het bijgebouw van het gemeentehuis - na isolatiewerken</t>
  </si>
  <si>
    <t>een biotoopcoëfficiënt bepalen voor gebouwen (0,7 voor nieuwbouw en de coëfficiënt van andere gebouwen verhogen)</t>
  </si>
  <si>
    <t>De uitvoerbaarheid van een groene corridor die het noorden en zuiden van de gemeente verbindt onderzoeken</t>
  </si>
  <si>
    <t>PST 1.6.3. Gemeentegebouwen vergroenen ten voordele van de biodiversiteit</t>
  </si>
  <si>
    <t>PST 8.4.2. Actieplan Groene netwerk 2022-2025 opstellen</t>
  </si>
  <si>
    <t>PST 8.4.3.  Gemeentelijk bomenplan 2023-2030 opstellen</t>
  </si>
  <si>
    <t>Gemeentepersoneel sensibiliseren rond biodiversiteit met de nadruk dat het om één van de 9 planetaire grenzen gaat</t>
  </si>
  <si>
    <t>didactische panelen plaatsen naast installaties die de biodiversiteit bevorderen</t>
  </si>
  <si>
    <t>Moestuin vormingen geven in scholen</t>
  </si>
  <si>
    <t>Al deze acties leiden tot de aanplanting van tenminste 150 bijkomende bomen in Jette (globale KPI voor dit deel, geen actie)</t>
  </si>
  <si>
    <r>
      <rPr>
        <sz val="11"/>
        <rFont val="Calibri"/>
        <family val="2"/>
        <scheme val="minor"/>
      </rPr>
      <t>Variëteit van straat- en laanbomen</t>
    </r>
    <r>
      <rPr>
        <sz val="11"/>
        <color theme="1"/>
        <rFont val="Calibri"/>
        <family val="2"/>
        <scheme val="minor"/>
      </rPr>
      <t xml:space="preserve"> aanplanten aangepast aan klimaatverandering (advies in andere acties)</t>
    </r>
  </si>
  <si>
    <t>Vorming en sensibilisering</t>
  </si>
  <si>
    <t>Een efficiënte bestuursstructuur en managementsysteem implementeren die het mogelijk maakt om voortdurend te verbeteren</t>
  </si>
  <si>
    <t>een officiële werkgroep oprichten om een strategie voor gedragsverandering te ontwikkelen, een ecoteam</t>
  </si>
  <si>
    <t>Nadenken over het label "Dynamische onderneming" van sommige gemeentegebouwen</t>
  </si>
  <si>
    <t>Synergieplan A1.1.4. Interne communicatiemiddelen vastleggen om de verspreiding van informatie te verbeteren en PST 1.4.4. Een interne communicatie implementeren zodat elke relevante informatie op een adequate manier bij een personeelslis en zijn verantwoordelijken terecht komt</t>
  </si>
  <si>
    <t>Een praktische vorming rond DO aanbieden aan het gemeentepersoneel</t>
  </si>
  <si>
    <t>Korte vormingen organiseren voor kinderverzorgsters om te knutselen met recup materiaal</t>
  </si>
  <si>
    <t>duurzame transitie integreren (zero waste, good food, duurzame mobiliteit, energie, circulariteit, eerlijke handel…) in de ondernemingscultuur en het personeel sensibiliseren via regelmatige activiteiten</t>
  </si>
  <si>
    <t>Communiceren/betrekken van gemeentepersoneel in burgeracties/gemeentelijke evenementen (te integreren in het communiciatieplan)</t>
  </si>
  <si>
    <t>een sterk engagement vragen van de gemeentelijke verantwoordelijken (voorbeeldfunctie)</t>
  </si>
  <si>
    <t>Scholen aanmoedingen om het label "Eco-Schools" of een ander label te behalen</t>
  </si>
  <si>
    <t>OS 2 Encourager les déplacements bas carbone et réduire les nécessités de déplacements / SD 2 Koolstofarme verplaatsingen aanmoedigen en de noodzaak voor verplaatsingen verminderen</t>
  </si>
  <si>
    <t>Vervangen van het vijver paviljoen (Aurore) door een nieuw volume in passief standaard</t>
  </si>
  <si>
    <t>Dakisolatie van het paviljoen 'geuren' in de school Aurore</t>
  </si>
  <si>
    <t>Isolation des vestiaires de la buvette du Heymbosch</t>
  </si>
  <si>
    <t>Isolatie van de vestiaire van de bar van het Heymboschpaviljoen</t>
  </si>
  <si>
    <t>Vestiaire Heymbosch</t>
  </si>
  <si>
    <t>Installer des parking vélo sécurisés dans toutes les écoles (profs et élèves) et les bâtiments publics (vélos + trottinettes) avec une mutualisation des places disponibles pour les riverains suivant les possibilités techniques (avec gestion type Parking Brussels)</t>
  </si>
  <si>
    <t>Beveiligde fietsparkings in alle scholen installeren (leerkrachten en leerlingen) en in openbare gebouwen (fietsen + steps) waarbij beschikbare plaatsen kunnen worden gedeeld met omwonenden indien technisch mogelijk (Parking Brussels)</t>
  </si>
  <si>
    <t>Favoriser l'économie du partage</t>
  </si>
  <si>
    <t>Deeleconomie bevoordelen</t>
  </si>
  <si>
    <t>Acheter du matériel IT durable, en collaboration avec Paradigm (e.g. TCO label)</t>
  </si>
  <si>
    <t>Duurzaam IT materiaal aankopen, in samenwerking met Paradigm (ex. TCO label)</t>
  </si>
  <si>
    <t>Intégrer l'écoconception des produits dans la politique d'achat</t>
  </si>
  <si>
    <t>Ecologisch concept van producten integreren in het aankoopbeleid</t>
  </si>
  <si>
    <r>
      <t xml:space="preserve">een studie doen voor een pilootproject in een gemeentelijk kinderdagverblijf dat een kinderdagverblijf wordt met 100 % </t>
    </r>
    <r>
      <rPr>
        <sz val="11"/>
        <rFont val="Calibri"/>
        <family val="2"/>
        <scheme val="minor"/>
      </rPr>
      <t xml:space="preserve">herbruikbare </t>
    </r>
    <r>
      <rPr>
        <sz val="11"/>
        <color theme="1"/>
        <rFont val="Calibri"/>
        <family val="2"/>
        <scheme val="minor"/>
      </rPr>
      <t>luiers</t>
    </r>
  </si>
  <si>
    <t>Améliorer la connaissance et le monitoring des déchets</t>
  </si>
  <si>
    <t>Réutiliser des matériaux pour éviter des déchets et s'inscrire dans une économie circulaire, tendre vers zero déchets</t>
  </si>
  <si>
    <t>Kennis en monitoring van afval verbeteren</t>
  </si>
  <si>
    <r>
      <t>het gebruik van wegwerpverpakking reglementeren</t>
    </r>
    <r>
      <rPr>
        <sz val="11"/>
        <rFont val="Calibri"/>
        <family val="2"/>
        <scheme val="minor"/>
      </rPr>
      <t xml:space="preserve"> in overheidsopdrachten </t>
    </r>
  </si>
  <si>
    <r>
      <t>Een verplicht programma in scholen invoeren om de doelstelling zero waste school te behalen</t>
    </r>
    <r>
      <rPr>
        <sz val="11"/>
        <color rgb="FFFF0000"/>
        <rFont val="Calibri"/>
        <family val="2"/>
        <scheme val="minor"/>
      </rPr>
      <t xml:space="preserve"> </t>
    </r>
    <r>
      <rPr>
        <sz val="11"/>
        <rFont val="Calibri"/>
        <family val="2"/>
        <scheme val="minor"/>
      </rPr>
      <t>(behalve indien afval onvermijdelijk is)</t>
    </r>
  </si>
  <si>
    <t>Améliorer la connaissance et réaliser un monitoring de l'economie circulaire et durable</t>
  </si>
  <si>
    <t>Kennis verbeteren en een monitoring instellen  voor duurzame en circulaire economie</t>
  </si>
  <si>
    <t>PST 1.6.1. Het personeel bewustmaken over digitale soberheid</t>
  </si>
  <si>
    <t>het gebruik van een automatische ecologische en verantwoordelijke zoekmotor binnen het gemeentebestuur analyseren</t>
  </si>
  <si>
    <r>
      <t xml:space="preserve">Déchets - Territoire </t>
    </r>
    <r>
      <rPr>
        <b/>
        <sz val="11"/>
        <color rgb="FF00B050"/>
        <rFont val="Calibri"/>
        <family val="2"/>
        <scheme val="minor"/>
      </rPr>
      <t>(10%)</t>
    </r>
    <r>
      <rPr>
        <sz val="11"/>
        <color theme="1"/>
        <rFont val="Calibri"/>
        <family val="2"/>
        <scheme val="minor"/>
      </rPr>
      <t>/ Afval - Grondgebied</t>
    </r>
    <r>
      <rPr>
        <b/>
        <sz val="11"/>
        <color rgb="FF00B050"/>
        <rFont val="Calibri"/>
        <family val="2"/>
        <scheme val="minor"/>
      </rPr>
      <t xml:space="preserve"> (10%)</t>
    </r>
  </si>
  <si>
    <t>Mobilité + Transport de marchandises et véhicules utilitaires / Mobiliteit + goederenvervoer en gebruiksvoertuigen</t>
  </si>
  <si>
    <t>Alimentation durable / Duurzame voeding</t>
  </si>
  <si>
    <t>Achats durables / Duurzame aankopen</t>
  </si>
  <si>
    <t>Déchets / Afval</t>
  </si>
  <si>
    <t>Economie circulaire et durable / Duurzame en circulaire economie</t>
  </si>
  <si>
    <t>Espaces verts/ biodiversité / Groene ruimte/biodiversiteit</t>
  </si>
  <si>
    <t>Sensibilisation/ gouvernance / Sensibilisering/bestuur</t>
  </si>
  <si>
    <t>OS 3 Promouvoir l'alimentation durable au sein de l'administration communale 
SD 3 Duurzame voeding promoten binnen het gemeentebestuur</t>
  </si>
  <si>
    <t xml:space="preserve">OS 4 Intégrer les principes du Green Public Procurement pour diminuer les émissions des achats en tenant compte de leur cycle de vie
SD 4 De principes van Green Public Procurement integreren om de uitstoot van aankopen te verminderen rekening houdend met hun levenscyclus </t>
  </si>
  <si>
    <t>OS 5 - PST 1.6.2. Faire vivre la démarche Zéro déchet au sein de l'administration 
SD 5-PST 1.6.2. Zero waste binnen het gemeentebestuur promoten</t>
  </si>
  <si>
    <t>OS 6 Promouvoir l'économie circulaire et durable 
DS 6 Duurzame en circulaire economie promoten</t>
  </si>
  <si>
    <t>OS 7 Faire évoluer la biodiversité dans la nouvelle donne climatique 
SD 7 Biodiversiteit doen evolueren in functie van klimaatverandering</t>
  </si>
  <si>
    <t>OS 8 Mettre en place une bonne structure de gouvernance générale permettant une amélioration continue 
SD 8 Een efficiënte bestuursstructuur implementeren die het mogelijk maakt om voortdurend te verbeteren</t>
  </si>
  <si>
    <t>OS 9 Sensibilisation et éduquer des acteurs communaux 
SD 9 Sensibilisering en educatie van gemeentelijke actoren</t>
  </si>
  <si>
    <t>Utiliser de manière rationelle les espaces</t>
  </si>
  <si>
    <t>Opérer un shift vers des énergies faibles en carbone ou renouvlables</t>
  </si>
  <si>
    <t>Mettre en place des dispositifs et infrastructures d'économie d'eau</t>
  </si>
  <si>
    <t>Récupérer et recycler l'eau</t>
  </si>
  <si>
    <t>Améliorer la connaissance et faire un monitoring des économies d'énergie dans les bâtiments</t>
  </si>
  <si>
    <t>Sensibiliser et changer le comportements des gestionnaires et utilisateurs des bâtiments communaux</t>
  </si>
  <si>
    <t>Sensibiliser et changer les comportements lié à une économie circulaire et zero déchets</t>
  </si>
  <si>
    <t>Intégrer l'économie circulaire pour des constructions neuves et des rénovations</t>
  </si>
  <si>
    <t>Prolonger la durée de vie via la réutilisation et la réparation des matériaux et produits</t>
  </si>
  <si>
    <t>Sensibiliser et changer les comportements lié à l'économie circulaire et durable</t>
  </si>
  <si>
    <t>Augmenter la surface verte</t>
  </si>
  <si>
    <t>Sensibiliser et changer les comportements par rapport à la biodiversité</t>
  </si>
  <si>
    <t>Opérer un shift vers des espèces adaptés au nouveau climat</t>
  </si>
  <si>
    <t>Former et sensibiliser</t>
  </si>
  <si>
    <t>Améliorer la connaissance et faire un monitoring des produit et achats (durables)</t>
  </si>
  <si>
    <t>Sensibiliser et changer les comportements lié aux achats durables</t>
  </si>
  <si>
    <t>Améliorer la connaissance et monitorer les produits et achats (durables)</t>
  </si>
  <si>
    <t>Consommer local et de saison</t>
  </si>
  <si>
    <t>Promouvoir la consommation de produits végétaux et diminuer la viande/produit animaux</t>
  </si>
  <si>
    <t>Promouvoir l'alimentaiton durable de manière générale</t>
  </si>
  <si>
    <t>Promouvoir les produits biologiques</t>
  </si>
  <si>
    <t>% de déchets récolté - territoire recyclés (20% de "corbeille et balayage", "versage sauvage", "ménager encombrants")</t>
  </si>
  <si>
    <t>% de clauses environnementales intégrées dans les achats</t>
  </si>
  <si>
    <t>Systematisch ecologische clausules in lastenboeken opnemen voor de aankoop van nieuwe voertuigen waarbij ambitieusere doelstellingen worden vastgelegd dan deze opgelegd door de ordonnantie "voorbeeldige voertuigen"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</si>
</sst>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 _€_-;\-* #,##0.00\ _€_-;_-* &quot;-&quot;??\ _€_-;_-@_-"/>
    <numFmt numFmtId="165" formatCode="_-* #,##0_-;\-* #,##0_-;_-* &quot;-&quot;??_-;_-@_-"/>
    <numFmt numFmtId="167" formatCode="0.0%"/>
    <numFmt numFmtId="168" formatCode="_-* #,##0.0_-;\-* #,##0.0_-;_-* &quot;-&quot;??_-;_-@_-"/>
    <numFmt numFmtId="169" formatCode="_-* #,##0\ _€_-;\-* #,##0\ _€_-;_-* &quot;-&quot;??\ _€_-;_-@_-"/>
    <numFmt numFmtId="170" formatCode="#,##0_ ;\-#,##0\ "/>
  </numFmts>
  <fonts count="62" x14ac:knownFonts="1">
    <font>
      <sz val="11"/>
      <color theme="1"/>
      <name val="Calibri"/>
      <family val="2"/>
      <scheme val="minor"/>
    </font>
    <font>
      <b/>
      <sz val="11"/>
      <color theme="1"/>
      <name val="Calibri"/>
      <family val="2"/>
      <scheme val="minor"/>
    </font>
    <font>
      <sz val="11"/>
      <color theme="1"/>
      <name val="Calibri"/>
      <family val="2"/>
      <scheme val="minor"/>
    </font>
    <font>
      <sz val="12"/>
      <color theme="1"/>
      <name val="Arial"/>
      <family val="2"/>
    </font>
    <font>
      <sz val="12"/>
      <color theme="1"/>
      <name val="Calibri"/>
      <family val="2"/>
      <scheme val="minor"/>
    </font>
    <font>
      <b/>
      <sz val="12"/>
      <color theme="1"/>
      <name val="Calibri"/>
      <family val="2"/>
      <scheme val="minor"/>
    </font>
    <font>
      <sz val="12"/>
      <color rgb="FF595959"/>
      <name val="Calibri"/>
      <family val="2"/>
      <scheme val="minor"/>
    </font>
    <font>
      <sz val="8"/>
      <name val="Calibri"/>
      <family val="2"/>
      <scheme val="minor"/>
    </font>
    <font>
      <sz val="12"/>
      <color theme="0"/>
      <name val="Arial"/>
      <family val="2"/>
    </font>
    <font>
      <sz val="10"/>
      <color theme="1"/>
      <name val="Arial"/>
      <family val="2"/>
    </font>
    <font>
      <sz val="11"/>
      <color rgb="FF000000"/>
      <name val="Calibri"/>
      <family val="2"/>
      <scheme val="minor"/>
    </font>
    <font>
      <sz val="12"/>
      <color rgb="FF9C5700"/>
      <name val="Calibri"/>
      <family val="2"/>
      <scheme val="minor"/>
    </font>
    <font>
      <sz val="10"/>
      <name val="Arial"/>
      <family val="2"/>
    </font>
    <font>
      <u/>
      <sz val="10"/>
      <color theme="5"/>
      <name val="Tahoma"/>
      <family val="2"/>
    </font>
    <font>
      <sz val="16"/>
      <color theme="1"/>
      <name val="Calibri"/>
      <family val="2"/>
      <scheme val="minor"/>
    </font>
    <font>
      <sz val="16"/>
      <color rgb="FF000000"/>
      <name val="Calibri"/>
      <family val="2"/>
      <scheme val="minor"/>
    </font>
    <font>
      <sz val="16"/>
      <color theme="0"/>
      <name val="Calibri"/>
      <family val="2"/>
      <scheme val="minor"/>
    </font>
    <font>
      <b/>
      <sz val="16"/>
      <color theme="1"/>
      <name val="Calibri"/>
      <family val="2"/>
      <scheme val="minor"/>
    </font>
    <font>
      <b/>
      <sz val="16"/>
      <color rgb="FF000000"/>
      <name val="Calibri"/>
      <family val="2"/>
      <scheme val="minor"/>
    </font>
    <font>
      <sz val="16"/>
      <color rgb="FF9C5700"/>
      <name val="Calibri"/>
      <family val="2"/>
      <scheme val="minor"/>
    </font>
    <font>
      <i/>
      <sz val="16"/>
      <color theme="2" tint="-0.249977111117893"/>
      <name val="Calibri"/>
      <family val="2"/>
      <scheme val="minor"/>
    </font>
    <font>
      <b/>
      <i/>
      <sz val="16"/>
      <color rgb="FF000000"/>
      <name val="Calibri"/>
      <family val="2"/>
      <scheme val="minor"/>
    </font>
    <font>
      <sz val="16"/>
      <color rgb="FF000000"/>
      <name val="Calibri"/>
      <family val="2"/>
    </font>
    <font>
      <sz val="16"/>
      <color rgb="FFFF0000"/>
      <name val="Calibri"/>
      <family val="2"/>
      <scheme val="minor"/>
    </font>
    <font>
      <sz val="16"/>
      <color theme="5"/>
      <name val="Calibri"/>
      <family val="2"/>
      <scheme val="minor"/>
    </font>
    <font>
      <b/>
      <sz val="16"/>
      <color theme="5"/>
      <name val="Calibri"/>
      <family val="2"/>
      <scheme val="minor"/>
    </font>
    <font>
      <sz val="10"/>
      <color theme="5"/>
      <name val="Arial"/>
      <family val="2"/>
    </font>
    <font>
      <sz val="16"/>
      <color rgb="FF00B0F0"/>
      <name val="Calibri"/>
      <family val="2"/>
      <scheme val="minor"/>
    </font>
    <font>
      <b/>
      <sz val="16"/>
      <color rgb="FF00B0F0"/>
      <name val="Calibri"/>
      <family val="2"/>
      <scheme val="minor"/>
    </font>
    <font>
      <sz val="16"/>
      <color theme="4"/>
      <name val="Calibri"/>
      <family val="2"/>
      <scheme val="minor"/>
    </font>
    <font>
      <sz val="16"/>
      <name val="Calibri"/>
      <family val="2"/>
      <scheme val="minor"/>
    </font>
    <font>
      <sz val="16"/>
      <color rgb="FF0070C0"/>
      <name val="Calibri"/>
      <family val="2"/>
      <scheme val="minor"/>
    </font>
    <font>
      <sz val="10"/>
      <color theme="1"/>
      <name val="Calibri"/>
      <family val="2"/>
      <scheme val="minor"/>
    </font>
    <font>
      <i/>
      <sz val="11"/>
      <color theme="1"/>
      <name val="Calibri"/>
      <family val="2"/>
      <scheme val="minor"/>
    </font>
    <font>
      <sz val="11"/>
      <color rgb="FF006100"/>
      <name val="Calibri"/>
      <family val="2"/>
      <scheme val="minor"/>
    </font>
    <font>
      <b/>
      <sz val="11"/>
      <color theme="0"/>
      <name val="Calibri"/>
      <family val="2"/>
      <scheme val="minor"/>
    </font>
    <font>
      <sz val="11"/>
      <name val="Calibri"/>
      <family val="2"/>
      <scheme val="minor"/>
    </font>
    <font>
      <b/>
      <sz val="11"/>
      <name val="Calibri"/>
      <family val="2"/>
      <scheme val="minor"/>
    </font>
    <font>
      <b/>
      <sz val="11"/>
      <color rgb="FF005091"/>
      <name val="Calibri"/>
      <family val="2"/>
      <scheme val="minor"/>
    </font>
    <font>
      <b/>
      <sz val="18"/>
      <color rgb="FF005091"/>
      <name val="Calibri"/>
      <family val="2"/>
      <scheme val="minor"/>
    </font>
    <font>
      <b/>
      <sz val="18"/>
      <color rgb="FF019CDB"/>
      <name val="Calibri"/>
      <family val="2"/>
      <scheme val="minor"/>
    </font>
    <font>
      <b/>
      <sz val="18"/>
      <color rgb="FFFDC300"/>
      <name val="Calibri"/>
      <family val="2"/>
      <scheme val="minor"/>
    </font>
    <font>
      <b/>
      <sz val="11"/>
      <color rgb="FF019CDB"/>
      <name val="Calibri"/>
      <family val="2"/>
      <scheme val="minor"/>
    </font>
    <font>
      <sz val="11"/>
      <color rgb="FFFDC300"/>
      <name val="Calibri"/>
      <family val="2"/>
      <scheme val="minor"/>
    </font>
    <font>
      <b/>
      <sz val="11"/>
      <color rgb="FFFDC300"/>
      <name val="Calibri"/>
      <family val="2"/>
      <scheme val="minor"/>
    </font>
    <font>
      <sz val="9"/>
      <color indexed="81"/>
      <name val="Tahoma"/>
      <family val="2"/>
    </font>
    <font>
      <b/>
      <sz val="9"/>
      <color indexed="81"/>
      <name val="Tahoma"/>
      <family val="2"/>
    </font>
    <font>
      <sz val="11"/>
      <color rgb="FFFF0000"/>
      <name val="Calibri"/>
      <family val="2"/>
      <scheme val="minor"/>
    </font>
    <font>
      <b/>
      <sz val="11"/>
      <color rgb="FF00B050"/>
      <name val="Calibri"/>
      <family val="2"/>
      <scheme val="minor"/>
    </font>
    <font>
      <sz val="11"/>
      <color theme="0"/>
      <name val="Calibri"/>
      <family val="2"/>
      <scheme val="minor"/>
    </font>
    <font>
      <b/>
      <i/>
      <sz val="11"/>
      <color rgb="FF005091"/>
      <name val="Calibri"/>
      <family val="2"/>
      <scheme val="minor"/>
    </font>
    <font>
      <b/>
      <i/>
      <sz val="11"/>
      <color rgb="FF019CDB"/>
      <name val="Calibri"/>
      <family val="2"/>
      <scheme val="minor"/>
    </font>
    <font>
      <b/>
      <sz val="14"/>
      <color theme="1"/>
      <name val="Calibri"/>
      <family val="2"/>
      <scheme val="minor"/>
    </font>
    <font>
      <b/>
      <sz val="14"/>
      <color rgb="FF005091"/>
      <name val="Calibri"/>
      <family val="2"/>
      <scheme val="minor"/>
    </font>
    <font>
      <b/>
      <sz val="14"/>
      <color rgb="FF019CDB"/>
      <name val="Calibri"/>
      <family val="2"/>
      <scheme val="minor"/>
    </font>
    <font>
      <sz val="14"/>
      <color rgb="FF019CDB"/>
      <name val="Calibri"/>
      <family val="2"/>
      <scheme val="minor"/>
    </font>
    <font>
      <b/>
      <sz val="16"/>
      <color rgb="FF005091"/>
      <name val="Calibri"/>
      <family val="2"/>
      <scheme val="minor"/>
    </font>
    <font>
      <strike/>
      <sz val="11"/>
      <color theme="1"/>
      <name val="Calibri"/>
      <family val="2"/>
      <scheme val="minor"/>
    </font>
    <font>
      <sz val="11"/>
      <color theme="1"/>
      <name val="Calibri"/>
      <family val="2"/>
    </font>
    <font>
      <i/>
      <sz val="11"/>
      <color theme="1" tint="0.499984740745262"/>
      <name val="Calibri"/>
      <family val="2"/>
      <scheme val="minor"/>
    </font>
    <font>
      <b/>
      <u/>
      <sz val="11"/>
      <color rgb="FF019CDB"/>
      <name val="Montserrat"/>
    </font>
    <font>
      <sz val="11"/>
      <color theme="0" tint="-0.249977111117893"/>
      <name val="Calibri"/>
      <family val="2"/>
      <scheme val="minor"/>
    </font>
  </fonts>
  <fills count="36">
    <fill>
      <patternFill patternType="none"/>
    </fill>
    <fill>
      <patternFill patternType="gray125"/>
    </fill>
    <fill>
      <patternFill patternType="solid">
        <fgColor theme="4" tint="0.39997558519241921"/>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rgb="FFFFEB9C"/>
      </patternFill>
    </fill>
    <fill>
      <patternFill patternType="solid">
        <fgColor theme="5" tint="-0.249977111117893"/>
        <bgColor indexed="64"/>
      </patternFill>
    </fill>
    <fill>
      <patternFill patternType="solid">
        <fgColor theme="6" tint="-0.249977111117893"/>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rgb="FF00B050"/>
        <bgColor indexed="64"/>
      </patternFill>
    </fill>
    <fill>
      <patternFill patternType="solid">
        <fgColor rgb="FFC6E0B4"/>
        <bgColor indexed="64"/>
      </patternFill>
    </fill>
    <fill>
      <patternFill patternType="solid">
        <fgColor rgb="FFFF66FF"/>
        <bgColor indexed="64"/>
      </patternFill>
    </fill>
    <fill>
      <patternFill patternType="solid">
        <fgColor rgb="FFFF0000"/>
        <bgColor indexed="64"/>
      </patternFill>
    </fill>
    <fill>
      <patternFill patternType="solid">
        <fgColor rgb="FFFFFF00"/>
        <bgColor indexed="64"/>
      </patternFill>
    </fill>
    <fill>
      <patternFill patternType="solid">
        <fgColor rgb="FFC6EFCE"/>
      </patternFill>
    </fill>
    <fill>
      <patternFill patternType="solid">
        <fgColor theme="5"/>
        <bgColor indexed="64"/>
      </patternFill>
    </fill>
    <fill>
      <patternFill patternType="solid">
        <fgColor theme="2"/>
        <bgColor indexed="64"/>
      </patternFill>
    </fill>
    <fill>
      <patternFill patternType="solid">
        <fgColor theme="0" tint="-0.499984740745262"/>
        <bgColor indexed="64"/>
      </patternFill>
    </fill>
    <fill>
      <patternFill patternType="solid">
        <fgColor theme="1" tint="4.9989318521683403E-2"/>
        <bgColor indexed="64"/>
      </patternFill>
    </fill>
    <fill>
      <patternFill patternType="solid">
        <fgColor theme="1" tint="0.499984740745262"/>
        <bgColor indexed="64"/>
      </patternFill>
    </fill>
    <fill>
      <patternFill patternType="solid">
        <fgColor rgb="FF005091"/>
        <bgColor indexed="64"/>
      </patternFill>
    </fill>
    <fill>
      <patternFill patternType="solid">
        <fgColor rgb="FF019CDB"/>
        <bgColor indexed="64"/>
      </patternFill>
    </fill>
    <fill>
      <patternFill patternType="solid">
        <fgColor rgb="FF89C7EB"/>
        <bgColor indexed="64"/>
      </patternFill>
    </fill>
    <fill>
      <patternFill patternType="solid">
        <fgColor rgb="FFFFC000"/>
        <bgColor indexed="64"/>
      </patternFill>
    </fill>
    <fill>
      <patternFill patternType="solid">
        <fgColor theme="0"/>
        <bgColor indexed="64"/>
      </patternFill>
    </fill>
    <fill>
      <patternFill patternType="solid">
        <fgColor theme="5" tint="0.79998168889431442"/>
        <bgColor indexed="64"/>
      </patternFill>
    </fill>
    <fill>
      <patternFill patternType="solid">
        <fgColor rgb="FFE0C1FF"/>
        <bgColor indexed="64"/>
      </patternFill>
    </fill>
    <fill>
      <patternFill patternType="solid">
        <fgColor rgb="FFF2E5FF"/>
        <bgColor indexed="64"/>
      </patternFill>
    </fill>
  </fills>
  <borders count="9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style="hair">
        <color theme="0" tint="-0.14999847407452621"/>
      </left>
      <right style="hair">
        <color theme="0" tint="-0.14999847407452621"/>
      </right>
      <top style="hair">
        <color theme="0" tint="-0.14999847407452621"/>
      </top>
      <bottom style="hair">
        <color theme="0" tint="-0.14999847407452621"/>
      </bottom>
      <diagonal/>
    </border>
    <border>
      <left style="thin">
        <color theme="0"/>
      </left>
      <right style="thin">
        <color theme="0"/>
      </right>
      <top style="thin">
        <color theme="0"/>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64"/>
      </bottom>
      <diagonal/>
    </border>
    <border>
      <left/>
      <right style="thin">
        <color theme="0"/>
      </right>
      <top style="thin">
        <color theme="0"/>
      </top>
      <bottom style="thin">
        <color theme="0"/>
      </bottom>
      <diagonal/>
    </border>
    <border>
      <left style="hair">
        <color theme="0" tint="-0.14999847407452621"/>
      </left>
      <right style="hair">
        <color theme="0" tint="-0.14999847407452621"/>
      </right>
      <top style="hair">
        <color theme="0" tint="-0.14999847407452621"/>
      </top>
      <bottom/>
      <diagonal/>
    </border>
    <border>
      <left style="hair">
        <color theme="0" tint="-0.14999847407452621"/>
      </left>
      <right style="hair">
        <color theme="0" tint="-0.14999847407452621"/>
      </right>
      <top/>
      <bottom/>
      <diagonal/>
    </border>
    <border>
      <left/>
      <right style="hair">
        <color theme="0" tint="-0.1499984740745262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thin">
        <color indexed="64"/>
      </bottom>
      <diagonal/>
    </border>
    <border>
      <left style="thin">
        <color auto="1"/>
      </left>
      <right style="thin">
        <color auto="1"/>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medium">
        <color indexed="64"/>
      </left>
      <right style="thin">
        <color auto="1"/>
      </right>
      <top style="thin">
        <color indexed="64"/>
      </top>
      <bottom/>
      <diagonal/>
    </border>
    <border>
      <left style="thin">
        <color auto="1"/>
      </left>
      <right style="medium">
        <color indexed="64"/>
      </right>
      <top style="thin">
        <color indexed="64"/>
      </top>
      <bottom style="thin">
        <color indexed="64"/>
      </bottom>
      <diagonal/>
    </border>
    <border>
      <left style="medium">
        <color indexed="64"/>
      </left>
      <right style="thin">
        <color auto="1"/>
      </right>
      <top/>
      <bottom/>
      <diagonal/>
    </border>
    <border>
      <left style="medium">
        <color indexed="64"/>
      </left>
      <right style="thin">
        <color auto="1"/>
      </right>
      <top/>
      <bottom style="thin">
        <color indexed="64"/>
      </bottom>
      <diagonal/>
    </border>
    <border>
      <left style="medium">
        <color indexed="64"/>
      </left>
      <right style="thin">
        <color auto="1"/>
      </right>
      <top/>
      <bottom style="medium">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rgb="FF005091"/>
      </left>
      <right/>
      <top style="medium">
        <color rgb="FF005091"/>
      </top>
      <bottom/>
      <diagonal/>
    </border>
    <border>
      <left/>
      <right/>
      <top style="medium">
        <color rgb="FF005091"/>
      </top>
      <bottom/>
      <diagonal/>
    </border>
    <border>
      <left/>
      <right style="medium">
        <color rgb="FF005091"/>
      </right>
      <top style="medium">
        <color rgb="FF005091"/>
      </top>
      <bottom/>
      <diagonal/>
    </border>
    <border>
      <left style="medium">
        <color rgb="FF005091"/>
      </left>
      <right/>
      <top/>
      <bottom/>
      <diagonal/>
    </border>
    <border>
      <left/>
      <right style="medium">
        <color rgb="FF005091"/>
      </right>
      <top/>
      <bottom/>
      <diagonal/>
    </border>
    <border>
      <left style="medium">
        <color rgb="FF005091"/>
      </left>
      <right/>
      <top/>
      <bottom style="medium">
        <color rgb="FF005091"/>
      </bottom>
      <diagonal/>
    </border>
    <border>
      <left/>
      <right/>
      <top/>
      <bottom style="medium">
        <color rgb="FF005091"/>
      </bottom>
      <diagonal/>
    </border>
    <border>
      <left/>
      <right style="medium">
        <color rgb="FF005091"/>
      </right>
      <top/>
      <bottom style="medium">
        <color rgb="FF005091"/>
      </bottom>
      <diagonal/>
    </border>
    <border>
      <left style="medium">
        <color rgb="FF019CDB"/>
      </left>
      <right/>
      <top style="medium">
        <color rgb="FF005091"/>
      </top>
      <bottom/>
      <diagonal/>
    </border>
    <border>
      <left/>
      <right style="medium">
        <color rgb="FF019CDB"/>
      </right>
      <top style="medium">
        <color rgb="FF005091"/>
      </top>
      <bottom/>
      <diagonal/>
    </border>
    <border>
      <left style="medium">
        <color rgb="FF019CDB"/>
      </left>
      <right/>
      <top/>
      <bottom/>
      <diagonal/>
    </border>
    <border>
      <left/>
      <right style="medium">
        <color rgb="FF019CDB"/>
      </right>
      <top/>
      <bottom/>
      <diagonal/>
    </border>
    <border>
      <left style="medium">
        <color rgb="FF019CDB"/>
      </left>
      <right/>
      <top/>
      <bottom style="medium">
        <color rgb="FF019CDB"/>
      </bottom>
      <diagonal/>
    </border>
    <border>
      <left/>
      <right/>
      <top/>
      <bottom style="medium">
        <color rgb="FF019CDB"/>
      </bottom>
      <diagonal/>
    </border>
    <border>
      <left/>
      <right style="medium">
        <color rgb="FF019CDB"/>
      </right>
      <top/>
      <bottom style="medium">
        <color rgb="FF019CDB"/>
      </bottom>
      <diagonal/>
    </border>
    <border>
      <left style="medium">
        <color rgb="FF89C7EB"/>
      </left>
      <right/>
      <top style="medium">
        <color rgb="FF019CDB"/>
      </top>
      <bottom/>
      <diagonal/>
    </border>
    <border>
      <left/>
      <right/>
      <top style="medium">
        <color rgb="FF019CDB"/>
      </top>
      <bottom/>
      <diagonal/>
    </border>
    <border>
      <left/>
      <right style="medium">
        <color rgb="FF89C7EB"/>
      </right>
      <top style="medium">
        <color rgb="FF019CDB"/>
      </top>
      <bottom/>
      <diagonal/>
    </border>
    <border>
      <left style="medium">
        <color rgb="FF89C7EB"/>
      </left>
      <right/>
      <top/>
      <bottom/>
      <diagonal/>
    </border>
    <border>
      <left/>
      <right style="medium">
        <color rgb="FF89C7EB"/>
      </right>
      <top/>
      <bottom/>
      <diagonal/>
    </border>
    <border>
      <left style="medium">
        <color rgb="FF89C7EB"/>
      </left>
      <right/>
      <top/>
      <bottom style="medium">
        <color rgb="FF89C7EB"/>
      </bottom>
      <diagonal/>
    </border>
    <border>
      <left/>
      <right/>
      <top/>
      <bottom style="medium">
        <color rgb="FF89C7EB"/>
      </bottom>
      <diagonal/>
    </border>
    <border>
      <left/>
      <right style="medium">
        <color rgb="FF89C7EB"/>
      </right>
      <top/>
      <bottom style="medium">
        <color rgb="FF89C7EB"/>
      </bottom>
      <diagonal/>
    </border>
    <border>
      <left style="medium">
        <color rgb="FFFDC300"/>
      </left>
      <right/>
      <top style="medium">
        <color rgb="FF89C7EB"/>
      </top>
      <bottom/>
      <diagonal/>
    </border>
    <border>
      <left/>
      <right/>
      <top style="medium">
        <color rgb="FF89C7EB"/>
      </top>
      <bottom/>
      <diagonal/>
    </border>
    <border>
      <left/>
      <right style="medium">
        <color rgb="FFFDC300"/>
      </right>
      <top style="medium">
        <color rgb="FF89C7EB"/>
      </top>
      <bottom/>
      <diagonal/>
    </border>
    <border>
      <left style="medium">
        <color rgb="FFFDC300"/>
      </left>
      <right/>
      <top/>
      <bottom/>
      <diagonal/>
    </border>
    <border>
      <left/>
      <right style="medium">
        <color rgb="FFFDC300"/>
      </right>
      <top/>
      <bottom/>
      <diagonal/>
    </border>
    <border>
      <left style="medium">
        <color rgb="FFFDC300"/>
      </left>
      <right/>
      <top/>
      <bottom style="medium">
        <color rgb="FFFDC300"/>
      </bottom>
      <diagonal/>
    </border>
    <border>
      <left/>
      <right/>
      <top/>
      <bottom style="medium">
        <color rgb="FFFDC300"/>
      </bottom>
      <diagonal/>
    </border>
    <border>
      <left/>
      <right style="medium">
        <color rgb="FFFDC300"/>
      </right>
      <top/>
      <bottom style="medium">
        <color rgb="FFFDC300"/>
      </bottom>
      <diagonal/>
    </border>
    <border>
      <left style="medium">
        <color rgb="FFFDC300"/>
      </left>
      <right/>
      <top style="medium">
        <color rgb="FF89C7EB"/>
      </top>
      <bottom style="medium">
        <color rgb="FFFDC300"/>
      </bottom>
      <diagonal/>
    </border>
    <border>
      <left/>
      <right/>
      <top style="medium">
        <color rgb="FF89C7EB"/>
      </top>
      <bottom style="medium">
        <color rgb="FFFDC300"/>
      </bottom>
      <diagonal/>
    </border>
    <border>
      <left/>
      <right style="medium">
        <color rgb="FFFDC300"/>
      </right>
      <top style="medium">
        <color rgb="FF89C7EB"/>
      </top>
      <bottom style="medium">
        <color rgb="FFFDC300"/>
      </bottom>
      <diagonal/>
    </border>
    <border>
      <left style="thick">
        <color rgb="FF005091"/>
      </left>
      <right/>
      <top style="thick">
        <color rgb="FF005091"/>
      </top>
      <bottom style="thick">
        <color rgb="FF005091"/>
      </bottom>
      <diagonal/>
    </border>
    <border>
      <left/>
      <right/>
      <top style="thick">
        <color rgb="FF005091"/>
      </top>
      <bottom style="thick">
        <color rgb="FF005091"/>
      </bottom>
      <diagonal/>
    </border>
    <border>
      <left/>
      <right style="thick">
        <color rgb="FF005091"/>
      </right>
      <top style="thick">
        <color rgb="FF005091"/>
      </top>
      <bottom style="thick">
        <color rgb="FF005091"/>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medium">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thin">
        <color rgb="FF0070C0"/>
      </left>
      <right style="medium">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s>
  <cellStyleXfs count="11">
    <xf numFmtId="0" fontId="0" fillId="0" borderId="0"/>
    <xf numFmtId="0" fontId="4" fillId="0" borderId="0"/>
    <xf numFmtId="0" fontId="11" fillId="6" borderId="0" applyNumberFormat="0" applyBorder="0" applyAlignment="0" applyProtection="0"/>
    <xf numFmtId="0" fontId="12" fillId="0" borderId="0"/>
    <xf numFmtId="0" fontId="13" fillId="0" borderId="0" applyNumberFormat="0" applyBorder="0">
      <alignment vertical="center"/>
    </xf>
    <xf numFmtId="0" fontId="1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34" fillId="22" borderId="0" applyNumberFormat="0" applyBorder="0" applyAlignment="0" applyProtection="0"/>
    <xf numFmtId="43" fontId="2" fillId="0" borderId="0" applyFont="0" applyFill="0" applyBorder="0" applyAlignment="0" applyProtection="0"/>
  </cellStyleXfs>
  <cellXfs count="612">
    <xf numFmtId="0" fontId="0" fillId="0" borderId="0" xfId="0"/>
    <xf numFmtId="0" fontId="0" fillId="2" borderId="0" xfId="0" applyFill="1"/>
    <xf numFmtId="0" fontId="0" fillId="3" borderId="0" xfId="0" applyFill="1"/>
    <xf numFmtId="0" fontId="0" fillId="4" borderId="0" xfId="0" applyFill="1"/>
    <xf numFmtId="0" fontId="1" fillId="0" borderId="0" xfId="0" applyFont="1"/>
    <xf numFmtId="0" fontId="0" fillId="4" borderId="0" xfId="0" applyFill="1" applyAlignment="1">
      <alignment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vertical="center"/>
    </xf>
    <xf numFmtId="0" fontId="1" fillId="0" borderId="4" xfId="0" applyFont="1" applyBorder="1" applyAlignment="1">
      <alignment horizontal="center"/>
    </xf>
    <xf numFmtId="0" fontId="3" fillId="0" borderId="0" xfId="0" applyFont="1" applyAlignment="1">
      <alignment horizontal="left" vertical="center" indent="1" readingOrder="1"/>
    </xf>
    <xf numFmtId="0" fontId="0" fillId="0" borderId="0" xfId="0" applyAlignment="1">
      <alignment horizontal="center" vertical="center"/>
    </xf>
    <xf numFmtId="0" fontId="0" fillId="0" borderId="0" xfId="0" applyAlignment="1">
      <alignment horizontal="center"/>
    </xf>
    <xf numFmtId="0" fontId="5" fillId="0" borderId="0" xfId="0" applyFont="1"/>
    <xf numFmtId="0" fontId="4" fillId="0" borderId="0" xfId="0" applyFont="1" applyAlignment="1">
      <alignment horizontal="justify" vertical="center" readingOrder="1"/>
    </xf>
    <xf numFmtId="0" fontId="0" fillId="0" borderId="0" xfId="0" applyAlignment="1">
      <alignment vertical="center"/>
    </xf>
    <xf numFmtId="0" fontId="4" fillId="0" borderId="0" xfId="0" applyFont="1" applyAlignment="1">
      <alignment horizontal="left" vertical="center" wrapText="1" readingOrder="1"/>
    </xf>
    <xf numFmtId="0" fontId="4" fillId="0" borderId="0" xfId="0" applyFont="1" applyAlignment="1">
      <alignment horizontal="justify" vertical="center" wrapText="1" readingOrder="1"/>
    </xf>
    <xf numFmtId="0" fontId="3" fillId="0" borderId="0" xfId="0" applyFont="1" applyAlignment="1">
      <alignment horizontal="left" vertical="center" indent="3" readingOrder="1"/>
    </xf>
    <xf numFmtId="0" fontId="4" fillId="0" borderId="0" xfId="0" applyFont="1" applyAlignment="1">
      <alignment horizontal="left" vertical="center" indent="1" readingOrder="1"/>
    </xf>
    <xf numFmtId="0" fontId="4" fillId="0" borderId="0" xfId="0" applyFont="1" applyAlignment="1">
      <alignment horizontal="left" vertical="center" wrapText="1" indent="1" readingOrder="1"/>
    </xf>
    <xf numFmtId="0" fontId="3" fillId="0" borderId="0" xfId="0" applyFont="1" applyAlignment="1">
      <alignment horizontal="justify" vertical="center" readingOrder="1"/>
    </xf>
    <xf numFmtId="0" fontId="1" fillId="0" borderId="0" xfId="0" applyFont="1" applyAlignment="1">
      <alignment horizontal="center" vertical="center"/>
    </xf>
    <xf numFmtId="0" fontId="19" fillId="6" borderId="0" xfId="2" applyFont="1" applyAlignment="1">
      <alignment wrapText="1"/>
    </xf>
    <xf numFmtId="0" fontId="19" fillId="13" borderId="0" xfId="2" applyFont="1" applyFill="1" applyAlignment="1">
      <alignment wrapText="1"/>
    </xf>
    <xf numFmtId="0" fontId="19" fillId="0" borderId="0" xfId="2" applyFont="1" applyFill="1" applyAlignment="1">
      <alignment wrapText="1"/>
    </xf>
    <xf numFmtId="0" fontId="15" fillId="18" borderId="0" xfId="2" applyFont="1" applyFill="1" applyAlignment="1">
      <alignment wrapText="1"/>
    </xf>
    <xf numFmtId="0" fontId="8" fillId="8" borderId="12" xfId="0" applyFont="1" applyFill="1" applyBorder="1" applyAlignment="1">
      <alignment horizontal="center" vertical="center" textRotation="90"/>
    </xf>
    <xf numFmtId="0" fontId="16" fillId="8" borderId="12" xfId="0" applyFont="1" applyFill="1" applyBorder="1" applyAlignment="1">
      <alignment horizontal="center" vertical="center" textRotation="90" wrapText="1"/>
    </xf>
    <xf numFmtId="0" fontId="16" fillId="8" borderId="13" xfId="0" applyFont="1" applyFill="1" applyBorder="1" applyAlignment="1">
      <alignment horizontal="center" vertical="center" wrapText="1"/>
    </xf>
    <xf numFmtId="0" fontId="16" fillId="8" borderId="5" xfId="0" applyFont="1" applyFill="1" applyBorder="1" applyAlignment="1">
      <alignment horizontal="center" vertical="center" wrapText="1"/>
    </xf>
    <xf numFmtId="0" fontId="16" fillId="7" borderId="7" xfId="0" applyFont="1" applyFill="1" applyBorder="1" applyAlignment="1">
      <alignment horizontal="center" vertical="center" wrapText="1"/>
    </xf>
    <xf numFmtId="0" fontId="16" fillId="17" borderId="7" xfId="0" applyFont="1" applyFill="1" applyBorder="1" applyAlignment="1">
      <alignment horizontal="center" vertical="center" wrapText="1"/>
    </xf>
    <xf numFmtId="0" fontId="3" fillId="0" borderId="0" xfId="0" applyFont="1" applyAlignment="1">
      <alignment vertical="top" wrapText="1"/>
    </xf>
    <xf numFmtId="0" fontId="14" fillId="9" borderId="12" xfId="0" applyFont="1" applyFill="1" applyBorder="1" applyAlignment="1">
      <alignment horizontal="center" vertical="center" textRotation="90" wrapText="1"/>
    </xf>
    <xf numFmtId="0" fontId="14" fillId="0" borderId="6" xfId="0" quotePrefix="1" applyFont="1" applyBorder="1" applyAlignment="1">
      <alignment horizontal="center" vertical="center" wrapText="1"/>
    </xf>
    <xf numFmtId="0" fontId="14" fillId="0" borderId="6" xfId="0" applyFont="1" applyBorder="1" applyAlignment="1">
      <alignment horizontal="center" vertical="center" wrapText="1"/>
    </xf>
    <xf numFmtId="0" fontId="9" fillId="0" borderId="0" xfId="0" applyFont="1" applyAlignment="1">
      <alignment vertical="top" wrapText="1"/>
    </xf>
    <xf numFmtId="0" fontId="15" fillId="0" borderId="0" xfId="0" quotePrefix="1" applyFont="1" applyAlignment="1">
      <alignment horizontal="center" vertical="center" wrapText="1"/>
    </xf>
    <xf numFmtId="0" fontId="23" fillId="0" borderId="6" xfId="0" applyFont="1" applyBorder="1" applyAlignment="1">
      <alignment horizontal="left" vertical="center" wrapText="1"/>
    </xf>
    <xf numFmtId="0" fontId="14" fillId="14" borderId="0" xfId="0" applyFont="1" applyFill="1" applyAlignment="1">
      <alignment wrapText="1"/>
    </xf>
    <xf numFmtId="0" fontId="14" fillId="0" borderId="0" xfId="0" applyFont="1" applyAlignment="1">
      <alignment wrapText="1"/>
    </xf>
    <xf numFmtId="0" fontId="14" fillId="0" borderId="15" xfId="0" applyFont="1" applyBorder="1" applyAlignment="1">
      <alignment vertical="center" wrapText="1"/>
    </xf>
    <xf numFmtId="0" fontId="14" fillId="0" borderId="6" xfId="0" applyFont="1" applyBorder="1" applyAlignment="1">
      <alignment horizontal="left" vertical="center" wrapText="1"/>
    </xf>
    <xf numFmtId="0" fontId="14" fillId="9" borderId="10" xfId="0" applyFont="1" applyFill="1" applyBorder="1" applyAlignment="1">
      <alignment vertical="center" textRotation="90" wrapText="1"/>
    </xf>
    <xf numFmtId="0" fontId="15" fillId="13" borderId="0" xfId="0" quotePrefix="1" applyFont="1" applyFill="1" applyAlignment="1">
      <alignment horizontal="left" vertical="top" wrapText="1"/>
    </xf>
    <xf numFmtId="0" fontId="14" fillId="13" borderId="6" xfId="0" applyFont="1" applyFill="1" applyBorder="1" applyAlignment="1">
      <alignment horizontal="left" vertical="center" wrapText="1"/>
    </xf>
    <xf numFmtId="0" fontId="14" fillId="13" borderId="6" xfId="0" applyFont="1" applyFill="1" applyBorder="1" applyAlignment="1">
      <alignment vertical="top" wrapText="1"/>
    </xf>
    <xf numFmtId="0" fontId="14" fillId="0" borderId="6" xfId="0" applyFont="1" applyBorder="1" applyAlignment="1">
      <alignment vertical="top" wrapText="1"/>
    </xf>
    <xf numFmtId="0" fontId="14" fillId="13" borderId="0" xfId="0" applyFont="1" applyFill="1" applyAlignment="1">
      <alignment wrapText="1"/>
    </xf>
    <xf numFmtId="0" fontId="15" fillId="0" borderId="0" xfId="0" quotePrefix="1" applyFont="1" applyAlignment="1">
      <alignment horizontal="left" vertical="top" wrapText="1"/>
    </xf>
    <xf numFmtId="0" fontId="14" fillId="0" borderId="0" xfId="0" applyFont="1" applyAlignment="1">
      <alignment vertical="top" wrapText="1"/>
    </xf>
    <xf numFmtId="0" fontId="15" fillId="0" borderId="0" xfId="0" applyFont="1" applyAlignment="1">
      <alignment wrapText="1"/>
    </xf>
    <xf numFmtId="0" fontId="17" fillId="13" borderId="6" xfId="0" applyFont="1" applyFill="1" applyBorder="1" applyAlignment="1">
      <alignment horizontal="left" vertical="center" wrapText="1"/>
    </xf>
    <xf numFmtId="0" fontId="20" fillId="0" borderId="6" xfId="0" applyFont="1" applyBorder="1" applyAlignment="1">
      <alignment vertical="top" wrapText="1"/>
    </xf>
    <xf numFmtId="0" fontId="14" fillId="13" borderId="0" xfId="0" applyFont="1" applyFill="1" applyAlignment="1">
      <alignment vertical="top" wrapText="1"/>
    </xf>
    <xf numFmtId="0" fontId="14" fillId="2" borderId="0" xfId="0" applyFont="1" applyFill="1" applyAlignment="1">
      <alignment wrapText="1"/>
    </xf>
    <xf numFmtId="0" fontId="17" fillId="13" borderId="0" xfId="0" applyFont="1" applyFill="1" applyAlignment="1">
      <alignment wrapText="1"/>
    </xf>
    <xf numFmtId="0" fontId="22" fillId="0" borderId="0" xfId="0" applyFont="1" applyAlignment="1">
      <alignment horizontal="center" vertical="center" wrapText="1"/>
    </xf>
    <xf numFmtId="0" fontId="15" fillId="13" borderId="0" xfId="0" applyFont="1" applyFill="1" applyAlignment="1">
      <alignment horizontal="left" vertical="top" wrapText="1"/>
    </xf>
    <xf numFmtId="0" fontId="14" fillId="16" borderId="6" xfId="0" applyFont="1" applyFill="1" applyBorder="1" applyAlignment="1">
      <alignment vertical="top" wrapText="1"/>
    </xf>
    <xf numFmtId="0" fontId="15" fillId="0" borderId="0" xfId="0" applyFont="1" applyAlignment="1">
      <alignment horizontal="left" vertical="top" wrapText="1"/>
    </xf>
    <xf numFmtId="0" fontId="14" fillId="13" borderId="0" xfId="0" applyFont="1" applyFill="1" applyAlignment="1">
      <alignment horizontal="left" vertical="center" wrapText="1"/>
    </xf>
    <xf numFmtId="0" fontId="17" fillId="13" borderId="6" xfId="0" applyFont="1" applyFill="1" applyBorder="1" applyAlignment="1">
      <alignment vertical="top" wrapText="1"/>
    </xf>
    <xf numFmtId="0" fontId="14" fillId="0" borderId="14" xfId="0" applyFont="1" applyBorder="1" applyAlignment="1">
      <alignment vertical="center" wrapText="1"/>
    </xf>
    <xf numFmtId="0" fontId="14" fillId="9" borderId="10" xfId="0" applyFont="1" applyFill="1" applyBorder="1" applyAlignment="1">
      <alignment horizontal="center" vertical="center" textRotation="90" wrapText="1"/>
    </xf>
    <xf numFmtId="0" fontId="14" fillId="12" borderId="0" xfId="0" applyFont="1" applyFill="1" applyAlignment="1">
      <alignment wrapText="1"/>
    </xf>
    <xf numFmtId="0" fontId="14" fillId="0" borderId="0" xfId="0" applyFont="1"/>
    <xf numFmtId="0" fontId="14" fillId="0" borderId="0" xfId="0" applyFont="1" applyAlignment="1">
      <alignment horizontal="left" vertical="center" wrapText="1"/>
    </xf>
    <xf numFmtId="0" fontId="14" fillId="11" borderId="0" xfId="0" applyFont="1" applyFill="1"/>
    <xf numFmtId="0" fontId="14" fillId="9" borderId="11" xfId="0" applyFont="1" applyFill="1" applyBorder="1" applyAlignment="1">
      <alignment horizontal="center" vertical="center" textRotation="90" wrapText="1"/>
    </xf>
    <xf numFmtId="0" fontId="14" fillId="10" borderId="0" xfId="0" applyFont="1" applyFill="1"/>
    <xf numFmtId="0" fontId="14" fillId="14" borderId="0" xfId="0" applyFont="1" applyFill="1" applyAlignment="1">
      <alignment vertical="top" wrapText="1"/>
    </xf>
    <xf numFmtId="0" fontId="3" fillId="9" borderId="10" xfId="0" applyFont="1" applyFill="1" applyBorder="1" applyAlignment="1">
      <alignment horizontal="center" vertical="center" textRotation="90" wrapText="1"/>
    </xf>
    <xf numFmtId="0" fontId="15" fillId="0" borderId="0" xfId="0" applyFont="1"/>
    <xf numFmtId="0" fontId="14" fillId="18" borderId="6" xfId="0" applyFont="1" applyFill="1" applyBorder="1" applyAlignment="1">
      <alignment vertical="top" wrapText="1"/>
    </xf>
    <xf numFmtId="0" fontId="9" fillId="0" borderId="6" xfId="0" applyFont="1" applyBorder="1" applyAlignment="1">
      <alignment vertical="top" wrapText="1"/>
    </xf>
    <xf numFmtId="0" fontId="10" fillId="0" borderId="0" xfId="0" applyFont="1"/>
    <xf numFmtId="0" fontId="15" fillId="5" borderId="0" xfId="0" applyFont="1" applyFill="1" applyAlignment="1">
      <alignment wrapText="1"/>
    </xf>
    <xf numFmtId="0" fontId="3" fillId="0" borderId="12" xfId="0" applyFont="1" applyBorder="1" applyAlignment="1">
      <alignment vertical="top"/>
    </xf>
    <xf numFmtId="0" fontId="15" fillId="12" borderId="0" xfId="0" applyFont="1" applyFill="1" applyAlignment="1">
      <alignment wrapText="1"/>
    </xf>
    <xf numFmtId="0" fontId="24" fillId="9" borderId="8" xfId="0" applyFont="1" applyFill="1" applyBorder="1" applyAlignment="1">
      <alignment vertical="center" textRotation="90" wrapText="1"/>
    </xf>
    <xf numFmtId="0" fontId="24" fillId="14" borderId="0" xfId="0" applyFont="1" applyFill="1" applyAlignment="1">
      <alignment wrapText="1"/>
    </xf>
    <xf numFmtId="0" fontId="24" fillId="0" borderId="0" xfId="0" applyFont="1" applyAlignment="1">
      <alignment wrapText="1"/>
    </xf>
    <xf numFmtId="0" fontId="24" fillId="0" borderId="15" xfId="0" applyFont="1" applyBorder="1" applyAlignment="1">
      <alignment vertical="center" wrapText="1"/>
    </xf>
    <xf numFmtId="0" fontId="24" fillId="0" borderId="6" xfId="0" applyFont="1" applyBorder="1" applyAlignment="1">
      <alignment horizontal="left" vertical="center" wrapText="1"/>
    </xf>
    <xf numFmtId="0" fontId="24" fillId="0" borderId="6" xfId="0" applyFont="1" applyBorder="1" applyAlignment="1">
      <alignment horizontal="center" vertical="center" wrapText="1"/>
    </xf>
    <xf numFmtId="0" fontId="26" fillId="0" borderId="0" xfId="0" applyFont="1" applyAlignment="1">
      <alignment vertical="top" wrapText="1"/>
    </xf>
    <xf numFmtId="0" fontId="24" fillId="9" borderId="10" xfId="0" applyFont="1" applyFill="1" applyBorder="1" applyAlignment="1">
      <alignment vertical="center" textRotation="90" wrapText="1"/>
    </xf>
    <xf numFmtId="0" fontId="24" fillId="13" borderId="0" xfId="0" quotePrefix="1" applyFont="1" applyFill="1" applyAlignment="1">
      <alignment horizontal="left" vertical="top" wrapText="1"/>
    </xf>
    <xf numFmtId="0" fontId="24" fillId="13" borderId="6" xfId="0" applyFont="1" applyFill="1" applyBorder="1" applyAlignment="1">
      <alignment horizontal="left" vertical="center" wrapText="1"/>
    </xf>
    <xf numFmtId="0" fontId="24" fillId="6" borderId="0" xfId="2" applyFont="1" applyAlignment="1">
      <alignment wrapText="1"/>
    </xf>
    <xf numFmtId="0" fontId="27" fillId="0" borderId="6" xfId="0" applyFont="1" applyBorder="1" applyAlignment="1">
      <alignment horizontal="center" vertical="center" wrapText="1"/>
    </xf>
    <xf numFmtId="0" fontId="24" fillId="13" borderId="6" xfId="0" applyFont="1" applyFill="1" applyBorder="1" applyAlignment="1">
      <alignment vertical="top" wrapText="1"/>
    </xf>
    <xf numFmtId="0" fontId="27" fillId="13" borderId="6" xfId="0" applyFont="1" applyFill="1" applyBorder="1" applyAlignment="1">
      <alignment vertical="top" wrapText="1"/>
    </xf>
    <xf numFmtId="0" fontId="24" fillId="13" borderId="0" xfId="0" applyFont="1" applyFill="1" applyAlignment="1">
      <alignment wrapText="1"/>
    </xf>
    <xf numFmtId="0" fontId="24" fillId="0" borderId="0" xfId="0" quotePrefix="1" applyFont="1" applyAlignment="1">
      <alignment horizontal="left" vertical="top" wrapText="1"/>
    </xf>
    <xf numFmtId="0" fontId="30" fillId="13" borderId="6" xfId="0" applyFont="1" applyFill="1" applyBorder="1" applyAlignment="1">
      <alignment horizontal="left" vertical="center" wrapText="1"/>
    </xf>
    <xf numFmtId="0" fontId="29" fillId="13" borderId="6" xfId="0" applyFont="1" applyFill="1" applyBorder="1" applyAlignment="1">
      <alignment vertical="top" wrapText="1"/>
    </xf>
    <xf numFmtId="0" fontId="31" fillId="13" borderId="6" xfId="0" applyFont="1" applyFill="1" applyBorder="1" applyAlignment="1">
      <alignment horizontal="left" vertical="center" wrapText="1"/>
    </xf>
    <xf numFmtId="0" fontId="0" fillId="19" borderId="0" xfId="0" applyFill="1"/>
    <xf numFmtId="0" fontId="0" fillId="20" borderId="0" xfId="0" applyFill="1"/>
    <xf numFmtId="0" fontId="0" fillId="21" borderId="0" xfId="0" applyFill="1"/>
    <xf numFmtId="43" fontId="0" fillId="0" borderId="0" xfId="7" applyFont="1" applyAlignment="1">
      <alignment horizontal="center" vertical="center"/>
    </xf>
    <xf numFmtId="9" fontId="0" fillId="0" borderId="0" xfId="8" applyFont="1"/>
    <xf numFmtId="43" fontId="0" fillId="0" borderId="0" xfId="7" applyFont="1"/>
    <xf numFmtId="0" fontId="1" fillId="0" borderId="12" xfId="0" applyFont="1" applyBorder="1" applyAlignment="1">
      <alignment horizontal="center"/>
    </xf>
    <xf numFmtId="0" fontId="35" fillId="23" borderId="1" xfId="0" applyFont="1" applyFill="1" applyBorder="1" applyAlignment="1">
      <alignment horizontal="center" vertical="center"/>
    </xf>
    <xf numFmtId="0" fontId="0" fillId="0" borderId="12" xfId="0" applyBorder="1"/>
    <xf numFmtId="1" fontId="36" fillId="0" borderId="12" xfId="9" applyNumberFormat="1" applyFont="1" applyFill="1" applyBorder="1"/>
    <xf numFmtId="9" fontId="0" fillId="0" borderId="12" xfId="8" applyFont="1" applyBorder="1"/>
    <xf numFmtId="0" fontId="0" fillId="0" borderId="18" xfId="0" applyBorder="1"/>
    <xf numFmtId="43" fontId="0" fillId="0" borderId="18" xfId="7" applyFont="1" applyBorder="1"/>
    <xf numFmtId="9" fontId="0" fillId="0" borderId="19" xfId="8" applyFont="1" applyBorder="1"/>
    <xf numFmtId="43" fontId="0" fillId="0" borderId="0" xfId="7" applyFont="1" applyBorder="1"/>
    <xf numFmtId="9" fontId="0" fillId="0" borderId="21" xfId="8" applyFont="1" applyBorder="1"/>
    <xf numFmtId="1" fontId="36" fillId="0" borderId="12" xfId="0" applyNumberFormat="1" applyFont="1" applyBorder="1"/>
    <xf numFmtId="0" fontId="1" fillId="0" borderId="12" xfId="0" applyFont="1" applyBorder="1"/>
    <xf numFmtId="1" fontId="37" fillId="0" borderId="12" xfId="9" applyNumberFormat="1" applyFont="1" applyFill="1" applyBorder="1"/>
    <xf numFmtId="9" fontId="1" fillId="0" borderId="12" xfId="8" applyFont="1" applyBorder="1"/>
    <xf numFmtId="0" fontId="36" fillId="0" borderId="0" xfId="0" applyFont="1"/>
    <xf numFmtId="0" fontId="37" fillId="0" borderId="12" xfId="0" applyFont="1" applyBorder="1" applyAlignment="1">
      <alignment horizontal="center"/>
    </xf>
    <xf numFmtId="0" fontId="0" fillId="0" borderId="23" xfId="0" applyBorder="1"/>
    <xf numFmtId="43" fontId="0" fillId="0" borderId="23" xfId="7" applyFont="1" applyBorder="1"/>
    <xf numFmtId="9" fontId="0" fillId="0" borderId="24" xfId="8" applyFont="1" applyBorder="1"/>
    <xf numFmtId="0" fontId="0" fillId="24" borderId="25" xfId="0" applyFill="1" applyBorder="1" applyAlignment="1">
      <alignment vertical="center"/>
    </xf>
    <xf numFmtId="0" fontId="0" fillId="24" borderId="26" xfId="0" applyFill="1" applyBorder="1" applyAlignment="1">
      <alignment vertical="center"/>
    </xf>
    <xf numFmtId="0" fontId="0" fillId="24" borderId="27" xfId="0" applyFill="1" applyBorder="1" applyAlignment="1">
      <alignment vertical="center"/>
    </xf>
    <xf numFmtId="0" fontId="0" fillId="24" borderId="12" xfId="0" applyFill="1" applyBorder="1" applyAlignment="1">
      <alignment vertical="center"/>
    </xf>
    <xf numFmtId="9" fontId="0" fillId="24" borderId="29" xfId="8" applyFont="1" applyFill="1" applyBorder="1" applyAlignment="1">
      <alignment vertical="center"/>
    </xf>
    <xf numFmtId="0" fontId="0" fillId="24" borderId="33" xfId="0" applyFill="1" applyBorder="1" applyAlignment="1">
      <alignment vertical="center"/>
    </xf>
    <xf numFmtId="9" fontId="0" fillId="24" borderId="34" xfId="8" applyFont="1" applyFill="1" applyBorder="1" applyAlignment="1">
      <alignment vertical="center"/>
    </xf>
    <xf numFmtId="0" fontId="1" fillId="0" borderId="8" xfId="0" applyFont="1" applyBorder="1" applyAlignment="1">
      <alignment horizontal="center" vertical="center"/>
    </xf>
    <xf numFmtId="0" fontId="0" fillId="0" borderId="0" xfId="0" applyAlignment="1">
      <alignment horizontal="left" vertical="center"/>
    </xf>
    <xf numFmtId="43" fontId="2" fillId="0" borderId="0" xfId="7" applyFont="1" applyBorder="1" applyAlignment="1">
      <alignment horizontal="center" vertical="center"/>
    </xf>
    <xf numFmtId="43" fontId="2" fillId="0" borderId="18" xfId="7" applyFont="1" applyFill="1" applyBorder="1" applyAlignment="1">
      <alignment horizontal="center" vertical="center"/>
    </xf>
    <xf numFmtId="0" fontId="0" fillId="0" borderId="23" xfId="0" applyBorder="1" applyAlignment="1">
      <alignment horizontal="left" vertical="center"/>
    </xf>
    <xf numFmtId="43" fontId="0" fillId="0" borderId="18" xfId="8" applyNumberFormat="1" applyFont="1" applyBorder="1" applyAlignment="1">
      <alignment vertical="center"/>
    </xf>
    <xf numFmtId="43" fontId="0" fillId="0" borderId="1" xfId="7" applyFont="1" applyBorder="1" applyAlignment="1">
      <alignment horizontal="center" vertical="center"/>
    </xf>
    <xf numFmtId="43" fontId="0" fillId="0" borderId="3" xfId="8" applyNumberFormat="1" applyFont="1" applyBorder="1" applyAlignment="1">
      <alignment vertical="center"/>
    </xf>
    <xf numFmtId="9" fontId="0" fillId="0" borderId="3" xfId="8" applyFont="1" applyBorder="1" applyAlignment="1">
      <alignment horizontal="right" vertical="center"/>
    </xf>
    <xf numFmtId="0" fontId="0" fillId="0" borderId="3" xfId="0" applyBorder="1"/>
    <xf numFmtId="43" fontId="0" fillId="0" borderId="3" xfId="7" applyFont="1" applyBorder="1"/>
    <xf numFmtId="9" fontId="0" fillId="0" borderId="4" xfId="8" applyFont="1" applyBorder="1"/>
    <xf numFmtId="43" fontId="0" fillId="0" borderId="0" xfId="8" applyNumberFormat="1" applyFont="1" applyBorder="1" applyAlignment="1">
      <alignment vertical="center"/>
    </xf>
    <xf numFmtId="43" fontId="0" fillId="0" borderId="23" xfId="8" applyNumberFormat="1" applyFont="1" applyBorder="1" applyAlignment="1">
      <alignment vertical="center"/>
    </xf>
    <xf numFmtId="0" fontId="0" fillId="11" borderId="0" xfId="0" applyFill="1"/>
    <xf numFmtId="0" fontId="0" fillId="25" borderId="0" xfId="0" applyFill="1"/>
    <xf numFmtId="0" fontId="35" fillId="26" borderId="0" xfId="0" applyFont="1" applyFill="1"/>
    <xf numFmtId="0" fontId="35" fillId="27" borderId="0" xfId="0" applyFont="1" applyFill="1"/>
    <xf numFmtId="164" fontId="0" fillId="0" borderId="0" xfId="0" applyNumberFormat="1"/>
    <xf numFmtId="9" fontId="0" fillId="0" borderId="0" xfId="0" applyNumberFormat="1"/>
    <xf numFmtId="9" fontId="0" fillId="14" borderId="0" xfId="0" applyNumberFormat="1" applyFill="1"/>
    <xf numFmtId="0" fontId="0" fillId="14" borderId="0" xfId="0" applyFill="1"/>
    <xf numFmtId="0" fontId="0" fillId="16" borderId="0" xfId="0" applyFill="1"/>
    <xf numFmtId="10" fontId="0" fillId="0" borderId="0" xfId="0" applyNumberFormat="1"/>
    <xf numFmtId="43" fontId="0" fillId="0" borderId="0" xfId="0" applyNumberFormat="1"/>
    <xf numFmtId="43" fontId="0" fillId="14" borderId="0" xfId="7" applyFont="1" applyFill="1"/>
    <xf numFmtId="43" fontId="0" fillId="0" borderId="35" xfId="7" applyFont="1" applyBorder="1" applyAlignment="1">
      <alignment horizontal="center" vertical="center"/>
    </xf>
    <xf numFmtId="43" fontId="0" fillId="0" borderId="36" xfId="7" applyFont="1" applyBorder="1" applyAlignment="1">
      <alignment horizontal="center" vertical="center"/>
    </xf>
    <xf numFmtId="43" fontId="0" fillId="0" borderId="37" xfId="7" applyFont="1" applyBorder="1" applyAlignment="1">
      <alignment horizontal="center" vertical="center"/>
    </xf>
    <xf numFmtId="9" fontId="0" fillId="0" borderId="18" xfId="8" applyFont="1" applyBorder="1" applyAlignment="1">
      <alignment horizontal="right" vertical="center"/>
    </xf>
    <xf numFmtId="9" fontId="0" fillId="0" borderId="0" xfId="8" applyFont="1" applyBorder="1" applyAlignment="1">
      <alignment horizontal="right" vertical="center"/>
    </xf>
    <xf numFmtId="9" fontId="0" fillId="0" borderId="23" xfId="8" applyFont="1" applyBorder="1" applyAlignment="1">
      <alignment horizontal="right" vertical="center"/>
    </xf>
    <xf numFmtId="9" fontId="0" fillId="0" borderId="0" xfId="8" applyFont="1" applyBorder="1" applyAlignment="1">
      <alignment horizontal="center" vertical="center"/>
    </xf>
    <xf numFmtId="43" fontId="0" fillId="0" borderId="0" xfId="7" applyFont="1" applyBorder="1" applyAlignment="1">
      <alignment horizontal="center" vertical="center"/>
    </xf>
    <xf numFmtId="0" fontId="0" fillId="0" borderId="20" xfId="0" applyBorder="1" applyAlignment="1">
      <alignment horizontal="center" vertical="center" wrapText="1"/>
    </xf>
    <xf numFmtId="165" fontId="0" fillId="0" borderId="0" xfId="0" applyNumberFormat="1"/>
    <xf numFmtId="1" fontId="0" fillId="0" borderId="0" xfId="0" applyNumberFormat="1"/>
    <xf numFmtId="0" fontId="0" fillId="0" borderId="0" xfId="0" applyAlignment="1">
      <alignment wrapText="1"/>
    </xf>
    <xf numFmtId="165" fontId="0" fillId="0" borderId="0" xfId="7" applyNumberFormat="1" applyFont="1" applyBorder="1" applyAlignment="1">
      <alignment horizontal="center" vertical="center"/>
    </xf>
    <xf numFmtId="0" fontId="0" fillId="0" borderId="39" xfId="0" applyBorder="1" applyAlignment="1">
      <alignment vertical="center"/>
    </xf>
    <xf numFmtId="165" fontId="0" fillId="0" borderId="39" xfId="0" applyNumberFormat="1" applyBorder="1"/>
    <xf numFmtId="9" fontId="0" fillId="0" borderId="40" xfId="8" applyFont="1" applyBorder="1" applyAlignment="1">
      <alignment horizontal="center"/>
    </xf>
    <xf numFmtId="9" fontId="0" fillId="0" borderId="42" xfId="8" applyFont="1" applyBorder="1" applyAlignment="1">
      <alignment horizontal="center"/>
    </xf>
    <xf numFmtId="9" fontId="0" fillId="0" borderId="0" xfId="8" applyFont="1" applyBorder="1" applyAlignment="1">
      <alignment horizontal="center"/>
    </xf>
    <xf numFmtId="0" fontId="0" fillId="0" borderId="44" xfId="0" applyBorder="1" applyAlignment="1">
      <alignment horizontal="left" vertical="center"/>
    </xf>
    <xf numFmtId="165" fontId="0" fillId="0" borderId="44" xfId="0" applyNumberFormat="1" applyBorder="1"/>
    <xf numFmtId="9" fontId="0" fillId="0" borderId="44" xfId="8" applyFont="1" applyBorder="1" applyAlignment="1">
      <alignment horizontal="center"/>
    </xf>
    <xf numFmtId="0" fontId="0" fillId="0" borderId="44" xfId="0" applyBorder="1" applyAlignment="1">
      <alignment vertical="center"/>
    </xf>
    <xf numFmtId="9" fontId="0" fillId="0" borderId="45" xfId="8" applyFont="1" applyBorder="1" applyAlignment="1">
      <alignment horizontal="center"/>
    </xf>
    <xf numFmtId="0" fontId="0" fillId="0" borderId="39" xfId="0" applyBorder="1" applyAlignment="1">
      <alignment horizontal="left" vertical="center"/>
    </xf>
    <xf numFmtId="9" fontId="0" fillId="0" borderId="39" xfId="8" applyFont="1" applyBorder="1" applyAlignment="1">
      <alignment horizontal="center"/>
    </xf>
    <xf numFmtId="9" fontId="0" fillId="0" borderId="47" xfId="8" applyFont="1" applyBorder="1" applyAlignment="1">
      <alignment horizontal="center"/>
    </xf>
    <xf numFmtId="9" fontId="0" fillId="0" borderId="49" xfId="8" applyFont="1" applyBorder="1" applyAlignment="1">
      <alignment horizontal="center"/>
    </xf>
    <xf numFmtId="0" fontId="0" fillId="0" borderId="51" xfId="0" applyBorder="1" applyAlignment="1">
      <alignment horizontal="left" vertical="center"/>
    </xf>
    <xf numFmtId="165" fontId="0" fillId="0" borderId="51" xfId="0" applyNumberFormat="1" applyBorder="1"/>
    <xf numFmtId="9" fontId="0" fillId="0" borderId="51" xfId="8" applyFont="1" applyBorder="1" applyAlignment="1">
      <alignment horizontal="center"/>
    </xf>
    <xf numFmtId="0" fontId="0" fillId="0" borderId="51" xfId="0" applyBorder="1" applyAlignment="1">
      <alignment vertical="center"/>
    </xf>
    <xf numFmtId="9" fontId="0" fillId="0" borderId="52" xfId="8" applyFont="1" applyBorder="1" applyAlignment="1">
      <alignment horizontal="center"/>
    </xf>
    <xf numFmtId="0" fontId="0" fillId="0" borderId="54" xfId="0" applyBorder="1" applyAlignment="1">
      <alignment vertical="center"/>
    </xf>
    <xf numFmtId="165" fontId="0" fillId="0" borderId="54" xfId="0" applyNumberFormat="1" applyBorder="1"/>
    <xf numFmtId="9" fontId="0" fillId="0" borderId="55" xfId="8" applyFont="1" applyBorder="1" applyAlignment="1">
      <alignment horizontal="center"/>
    </xf>
    <xf numFmtId="9" fontId="0" fillId="0" borderId="57" xfId="8" applyFont="1" applyBorder="1" applyAlignment="1">
      <alignment horizontal="center"/>
    </xf>
    <xf numFmtId="0" fontId="0" fillId="0" borderId="59" xfId="0" applyBorder="1" applyAlignment="1">
      <alignment horizontal="left" vertical="center"/>
    </xf>
    <xf numFmtId="165" fontId="0" fillId="0" borderId="59" xfId="0" applyNumberFormat="1" applyBorder="1"/>
    <xf numFmtId="9" fontId="0" fillId="0" borderId="59" xfId="8" applyFont="1" applyBorder="1" applyAlignment="1">
      <alignment horizontal="center"/>
    </xf>
    <xf numFmtId="0" fontId="0" fillId="0" borderId="59" xfId="0" applyBorder="1" applyAlignment="1">
      <alignment vertical="center"/>
    </xf>
    <xf numFmtId="9" fontId="0" fillId="0" borderId="60" xfId="8" applyFont="1" applyBorder="1" applyAlignment="1">
      <alignment horizontal="center"/>
    </xf>
    <xf numFmtId="0" fontId="0" fillId="0" borderId="62" xfId="0" applyBorder="1" applyAlignment="1">
      <alignment horizontal="left" vertical="center"/>
    </xf>
    <xf numFmtId="165" fontId="0" fillId="0" borderId="62" xfId="0" applyNumberFormat="1" applyBorder="1"/>
    <xf numFmtId="9" fontId="0" fillId="0" borderId="62" xfId="8" applyFont="1" applyBorder="1" applyAlignment="1">
      <alignment horizontal="center"/>
    </xf>
    <xf numFmtId="0" fontId="0" fillId="0" borderId="62" xfId="0" applyBorder="1" applyAlignment="1">
      <alignment vertical="center"/>
    </xf>
    <xf numFmtId="9" fontId="0" fillId="0" borderId="63" xfId="8" applyFont="1" applyBorder="1" applyAlignment="1">
      <alignment horizontal="center"/>
    </xf>
    <xf numFmtId="9" fontId="0" fillId="0" borderId="65" xfId="8" applyFont="1" applyBorder="1" applyAlignment="1">
      <alignment horizontal="center"/>
    </xf>
    <xf numFmtId="0" fontId="0" fillId="0" borderId="67" xfId="0" applyBorder="1" applyAlignment="1">
      <alignment vertical="center"/>
    </xf>
    <xf numFmtId="165" fontId="0" fillId="0" borderId="67" xfId="0" applyNumberFormat="1" applyBorder="1"/>
    <xf numFmtId="9" fontId="0" fillId="0" borderId="68" xfId="8" applyFont="1" applyBorder="1" applyAlignment="1">
      <alignment horizontal="center"/>
    </xf>
    <xf numFmtId="0" fontId="38" fillId="0" borderId="0" xfId="0" applyFont="1" applyAlignment="1">
      <alignment horizontal="center"/>
    </xf>
    <xf numFmtId="0" fontId="42" fillId="0" borderId="0" xfId="0" applyFont="1" applyAlignment="1">
      <alignment horizontal="center"/>
    </xf>
    <xf numFmtId="0" fontId="43" fillId="0" borderId="0" xfId="0" applyFont="1"/>
    <xf numFmtId="0" fontId="44" fillId="0" borderId="0" xfId="0" applyFont="1" applyAlignment="1">
      <alignment horizontal="center"/>
    </xf>
    <xf numFmtId="43" fontId="0" fillId="0" borderId="0" xfId="0" applyNumberFormat="1" applyAlignment="1">
      <alignment horizontal="center" vertical="center"/>
    </xf>
    <xf numFmtId="9" fontId="0" fillId="0" borderId="0" xfId="8" applyFont="1" applyAlignment="1">
      <alignment horizontal="center" vertical="center"/>
    </xf>
    <xf numFmtId="0" fontId="0" fillId="0" borderId="39" xfId="0" applyBorder="1"/>
    <xf numFmtId="0" fontId="0" fillId="0" borderId="44" xfId="0" applyBorder="1"/>
    <xf numFmtId="0" fontId="0" fillId="0" borderId="54" xfId="0" applyBorder="1"/>
    <xf numFmtId="43" fontId="0" fillId="0" borderId="54" xfId="0" applyNumberFormat="1" applyBorder="1"/>
    <xf numFmtId="43" fontId="0" fillId="0" borderId="59" xfId="0" applyNumberFormat="1" applyBorder="1"/>
    <xf numFmtId="168" fontId="0" fillId="0" borderId="0" xfId="0" applyNumberFormat="1" applyAlignment="1">
      <alignment horizontal="center" vertical="center"/>
    </xf>
    <xf numFmtId="43" fontId="0" fillId="0" borderId="64" xfId="0" applyNumberFormat="1" applyBorder="1" applyAlignment="1">
      <alignment horizontal="center" vertical="center"/>
    </xf>
    <xf numFmtId="9" fontId="0" fillId="0" borderId="0" xfId="0" applyNumberFormat="1" applyAlignment="1">
      <alignment horizontal="center"/>
    </xf>
    <xf numFmtId="43" fontId="0" fillId="0" borderId="64" xfId="0" applyNumberFormat="1" applyBorder="1" applyAlignment="1">
      <alignment horizontal="center"/>
    </xf>
    <xf numFmtId="168" fontId="0" fillId="0" borderId="0" xfId="0" applyNumberFormat="1"/>
    <xf numFmtId="43" fontId="0" fillId="0" borderId="64" xfId="7" applyFont="1" applyBorder="1" applyAlignment="1">
      <alignment horizontal="center"/>
    </xf>
    <xf numFmtId="43" fontId="0" fillId="0" borderId="66" xfId="7" applyFont="1" applyBorder="1" applyAlignment="1">
      <alignment horizontal="center"/>
    </xf>
    <xf numFmtId="168" fontId="0" fillId="0" borderId="67" xfId="0" applyNumberFormat="1" applyBorder="1"/>
    <xf numFmtId="9" fontId="0" fillId="0" borderId="67" xfId="0" applyNumberFormat="1" applyBorder="1" applyAlignment="1">
      <alignment horizontal="center"/>
    </xf>
    <xf numFmtId="0" fontId="0" fillId="0" borderId="67" xfId="0" applyBorder="1"/>
    <xf numFmtId="0" fontId="0" fillId="0" borderId="59" xfId="0" applyBorder="1"/>
    <xf numFmtId="168" fontId="0" fillId="0" borderId="39" xfId="0" applyNumberFormat="1" applyBorder="1"/>
    <xf numFmtId="168" fontId="0" fillId="0" borderId="54" xfId="0" applyNumberFormat="1" applyBorder="1"/>
    <xf numFmtId="168" fontId="0" fillId="0" borderId="59" xfId="0" applyNumberFormat="1" applyBorder="1"/>
    <xf numFmtId="9" fontId="0" fillId="0" borderId="40" xfId="0" applyNumberFormat="1" applyBorder="1" applyAlignment="1">
      <alignment horizontal="center"/>
    </xf>
    <xf numFmtId="9" fontId="0" fillId="0" borderId="42" xfId="0" applyNumberFormat="1" applyBorder="1" applyAlignment="1">
      <alignment horizontal="center"/>
    </xf>
    <xf numFmtId="9" fontId="0" fillId="0" borderId="47" xfId="0" applyNumberFormat="1" applyBorder="1" applyAlignment="1">
      <alignment horizontal="center"/>
    </xf>
    <xf numFmtId="9" fontId="0" fillId="0" borderId="49" xfId="0" applyNumberFormat="1" applyBorder="1" applyAlignment="1">
      <alignment horizontal="center"/>
    </xf>
    <xf numFmtId="9" fontId="0" fillId="0" borderId="55" xfId="0" applyNumberFormat="1" applyBorder="1" applyAlignment="1">
      <alignment horizontal="center"/>
    </xf>
    <xf numFmtId="9" fontId="0" fillId="0" borderId="57" xfId="0" applyNumberFormat="1" applyBorder="1" applyAlignment="1">
      <alignment horizontal="center"/>
    </xf>
    <xf numFmtId="9" fontId="0" fillId="0" borderId="60" xfId="0" applyNumberFormat="1" applyBorder="1" applyAlignment="1">
      <alignment horizontal="center"/>
    </xf>
    <xf numFmtId="9" fontId="0" fillId="0" borderId="65" xfId="0" applyNumberFormat="1" applyBorder="1" applyAlignment="1">
      <alignment horizontal="center"/>
    </xf>
    <xf numFmtId="9" fontId="0" fillId="0" borderId="68" xfId="0" applyNumberFormat="1" applyBorder="1" applyAlignment="1">
      <alignment horizontal="center"/>
    </xf>
    <xf numFmtId="9" fontId="0" fillId="0" borderId="45" xfId="0" applyNumberFormat="1" applyBorder="1" applyAlignment="1">
      <alignment horizontal="center"/>
    </xf>
    <xf numFmtId="9" fontId="0" fillId="0" borderId="52" xfId="0" applyNumberFormat="1" applyBorder="1" applyAlignment="1">
      <alignment horizontal="center"/>
    </xf>
    <xf numFmtId="0" fontId="0" fillId="0" borderId="0" xfId="0" applyAlignment="1">
      <alignment horizontal="center" wrapText="1"/>
    </xf>
    <xf numFmtId="0" fontId="0" fillId="0" borderId="0" xfId="0" applyAlignment="1">
      <alignment horizontal="center" vertical="center" wrapText="1"/>
    </xf>
    <xf numFmtId="9" fontId="1" fillId="0" borderId="0" xfId="0" applyNumberFormat="1" applyFont="1"/>
    <xf numFmtId="0" fontId="0" fillId="0" borderId="0" xfId="0" applyAlignment="1">
      <alignment vertical="center" wrapText="1"/>
    </xf>
    <xf numFmtId="0" fontId="0" fillId="0" borderId="0" xfId="0" applyAlignment="1">
      <alignment horizontal="left" vertical="center" wrapText="1"/>
    </xf>
    <xf numFmtId="0" fontId="0" fillId="27" borderId="0" xfId="0" applyFill="1" applyAlignment="1">
      <alignment horizontal="center" vertical="center" wrapText="1"/>
    </xf>
    <xf numFmtId="0" fontId="0" fillId="27" borderId="0" xfId="0" applyFill="1" applyAlignment="1">
      <alignment horizontal="left" vertical="center" wrapText="1"/>
    </xf>
    <xf numFmtId="0" fontId="0" fillId="27" borderId="0" xfId="0" applyFill="1"/>
    <xf numFmtId="9" fontId="0" fillId="0" borderId="39" xfId="8" applyFont="1" applyBorder="1" applyAlignment="1">
      <alignment horizontal="center" vertical="center"/>
    </xf>
    <xf numFmtId="9" fontId="0" fillId="0" borderId="54" xfId="8" applyFont="1" applyBorder="1" applyAlignment="1">
      <alignment horizontal="center" vertical="center"/>
    </xf>
    <xf numFmtId="9" fontId="0" fillId="0" borderId="44" xfId="8" applyFont="1" applyBorder="1" applyAlignment="1">
      <alignment horizontal="center" vertical="center"/>
    </xf>
    <xf numFmtId="9" fontId="0" fillId="0" borderId="51" xfId="8" applyFont="1" applyBorder="1" applyAlignment="1">
      <alignment horizontal="center" vertical="center"/>
    </xf>
    <xf numFmtId="9" fontId="0" fillId="0" borderId="59" xfId="8" applyFont="1" applyBorder="1" applyAlignment="1">
      <alignment horizontal="center" vertical="center"/>
    </xf>
    <xf numFmtId="0" fontId="0" fillId="27" borderId="0" xfId="0" applyFill="1" applyAlignment="1">
      <alignment vertical="center"/>
    </xf>
    <xf numFmtId="0" fontId="0" fillId="0" borderId="0" xfId="0" applyAlignment="1">
      <alignment horizontal="right"/>
    </xf>
    <xf numFmtId="1" fontId="0" fillId="0" borderId="0" xfId="0" applyNumberFormat="1" applyAlignment="1">
      <alignment horizontal="center" vertical="center"/>
    </xf>
    <xf numFmtId="0" fontId="50" fillId="0" borderId="0" xfId="0" applyFont="1" applyAlignment="1">
      <alignment horizontal="center"/>
    </xf>
    <xf numFmtId="0" fontId="51" fillId="0" borderId="0" xfId="0" applyFont="1" applyAlignment="1">
      <alignment horizontal="center"/>
    </xf>
    <xf numFmtId="0" fontId="0" fillId="0" borderId="39" xfId="0" applyBorder="1" applyAlignment="1">
      <alignment wrapText="1"/>
    </xf>
    <xf numFmtId="1" fontId="0" fillId="0" borderId="39" xfId="0" applyNumberFormat="1" applyBorder="1" applyAlignment="1">
      <alignment horizontal="center" vertical="center"/>
    </xf>
    <xf numFmtId="9" fontId="0" fillId="0" borderId="40" xfId="8" applyFont="1" applyBorder="1" applyAlignment="1">
      <alignment horizontal="center" vertical="center"/>
    </xf>
    <xf numFmtId="9" fontId="0" fillId="0" borderId="42" xfId="8" applyFont="1" applyBorder="1" applyAlignment="1">
      <alignment horizontal="center" vertical="center"/>
    </xf>
    <xf numFmtId="0" fontId="0" fillId="0" borderId="44" xfId="0" applyBorder="1" applyAlignment="1">
      <alignment wrapText="1"/>
    </xf>
    <xf numFmtId="1" fontId="0" fillId="0" borderId="44" xfId="0" applyNumberFormat="1" applyBorder="1" applyAlignment="1">
      <alignment horizontal="center" vertical="center"/>
    </xf>
    <xf numFmtId="9" fontId="0" fillId="0" borderId="45" xfId="8" applyFont="1" applyBorder="1" applyAlignment="1">
      <alignment horizontal="center" vertical="center"/>
    </xf>
    <xf numFmtId="9" fontId="0" fillId="0" borderId="47" xfId="8" applyFont="1" applyBorder="1" applyAlignment="1">
      <alignment horizontal="center" vertical="center"/>
    </xf>
    <xf numFmtId="0" fontId="0" fillId="0" borderId="51" xfId="0" applyBorder="1" applyAlignment="1">
      <alignment wrapText="1"/>
    </xf>
    <xf numFmtId="1" fontId="0" fillId="0" borderId="51" xfId="0" applyNumberFormat="1" applyBorder="1" applyAlignment="1">
      <alignment horizontal="center" vertical="center"/>
    </xf>
    <xf numFmtId="9" fontId="0" fillId="0" borderId="52" xfId="8" applyFont="1" applyBorder="1" applyAlignment="1">
      <alignment horizontal="center" vertical="center"/>
    </xf>
    <xf numFmtId="0" fontId="0" fillId="0" borderId="54" xfId="0" applyBorder="1" applyAlignment="1">
      <alignment wrapText="1"/>
    </xf>
    <xf numFmtId="1" fontId="0" fillId="0" borderId="54" xfId="0" applyNumberFormat="1" applyBorder="1" applyAlignment="1">
      <alignment horizontal="center" vertical="center"/>
    </xf>
    <xf numFmtId="9" fontId="0" fillId="0" borderId="55" xfId="8" applyFont="1" applyBorder="1" applyAlignment="1">
      <alignment horizontal="center" vertical="center"/>
    </xf>
    <xf numFmtId="9" fontId="0" fillId="0" borderId="57" xfId="8" applyFont="1" applyBorder="1" applyAlignment="1">
      <alignment horizontal="center" vertical="center"/>
    </xf>
    <xf numFmtId="0" fontId="0" fillId="0" borderId="59" xfId="0" applyBorder="1" applyAlignment="1">
      <alignment wrapText="1"/>
    </xf>
    <xf numFmtId="1" fontId="0" fillId="0" borderId="59" xfId="0" applyNumberFormat="1" applyBorder="1" applyAlignment="1">
      <alignment horizontal="center" vertical="center"/>
    </xf>
    <xf numFmtId="9" fontId="0" fillId="0" borderId="60" xfId="8" applyFont="1" applyBorder="1" applyAlignment="1">
      <alignment horizontal="center" vertical="center"/>
    </xf>
    <xf numFmtId="0" fontId="0" fillId="0" borderId="69" xfId="0" applyBorder="1"/>
    <xf numFmtId="169" fontId="0" fillId="0" borderId="70" xfId="0" applyNumberFormat="1" applyBorder="1"/>
    <xf numFmtId="9" fontId="0" fillId="0" borderId="70" xfId="8" applyFont="1" applyBorder="1" applyAlignment="1">
      <alignment horizontal="center" vertical="center"/>
    </xf>
    <xf numFmtId="0" fontId="0" fillId="0" borderId="70" xfId="0" applyBorder="1"/>
    <xf numFmtId="169" fontId="0" fillId="0" borderId="70" xfId="0" applyNumberFormat="1" applyBorder="1" applyAlignment="1">
      <alignment horizontal="center"/>
    </xf>
    <xf numFmtId="9" fontId="0" fillId="0" borderId="71" xfId="8" applyFont="1" applyBorder="1" applyAlignment="1">
      <alignment horizontal="center" vertical="center"/>
    </xf>
    <xf numFmtId="0" fontId="52" fillId="0" borderId="72" xfId="0" applyFont="1" applyBorder="1"/>
    <xf numFmtId="1" fontId="52" fillId="0" borderId="73" xfId="0" applyNumberFormat="1" applyFont="1" applyBorder="1" applyAlignment="1">
      <alignment horizontal="center"/>
    </xf>
    <xf numFmtId="9" fontId="52" fillId="0" borderId="73" xfId="8" applyFont="1" applyBorder="1" applyAlignment="1">
      <alignment horizontal="center"/>
    </xf>
    <xf numFmtId="0" fontId="52" fillId="0" borderId="73" xfId="0" applyFont="1" applyBorder="1"/>
    <xf numFmtId="1" fontId="52" fillId="0" borderId="73" xfId="0" applyNumberFormat="1" applyFont="1" applyBorder="1" applyAlignment="1">
      <alignment horizontal="center" vertical="center"/>
    </xf>
    <xf numFmtId="9" fontId="52" fillId="0" borderId="73" xfId="8" applyFont="1" applyBorder="1" applyAlignment="1">
      <alignment horizontal="center" vertical="center"/>
    </xf>
    <xf numFmtId="9" fontId="52" fillId="0" borderId="74" xfId="8" applyFont="1" applyBorder="1" applyAlignment="1">
      <alignment horizontal="center" vertical="center"/>
    </xf>
    <xf numFmtId="0" fontId="53" fillId="0" borderId="0" xfId="0" applyFont="1" applyAlignment="1">
      <alignment horizontal="center"/>
    </xf>
    <xf numFmtId="0" fontId="55" fillId="0" borderId="0" xfId="0" applyFont="1" applyAlignment="1">
      <alignment horizontal="center"/>
    </xf>
    <xf numFmtId="1" fontId="0" fillId="0" borderId="0" xfId="8" applyNumberFormat="1" applyFont="1" applyAlignment="1">
      <alignment horizontal="center" vertical="center"/>
    </xf>
    <xf numFmtId="0" fontId="0" fillId="27" borderId="0" xfId="0" applyFill="1" applyAlignment="1">
      <alignment horizontal="center" vertical="center"/>
    </xf>
    <xf numFmtId="1" fontId="0" fillId="27" borderId="0" xfId="0" applyNumberFormat="1" applyFill="1" applyAlignment="1">
      <alignment vertical="center"/>
    </xf>
    <xf numFmtId="0" fontId="0" fillId="27" borderId="0" xfId="0" applyFill="1" applyAlignment="1">
      <alignment vertical="center" wrapText="1"/>
    </xf>
    <xf numFmtId="0" fontId="35" fillId="28" borderId="0" xfId="0" applyFont="1" applyFill="1" applyAlignment="1">
      <alignment horizontal="center" vertical="center" wrapText="1"/>
    </xf>
    <xf numFmtId="0" fontId="35" fillId="28" borderId="0" xfId="0" applyFont="1" applyFill="1" applyAlignment="1">
      <alignment vertical="center" wrapText="1"/>
    </xf>
    <xf numFmtId="0" fontId="35" fillId="28" borderId="0" xfId="0" applyFont="1" applyFill="1" applyAlignment="1">
      <alignment horizontal="center" vertical="center"/>
    </xf>
    <xf numFmtId="1" fontId="49" fillId="0" borderId="0" xfId="8" applyNumberFormat="1" applyFont="1" applyAlignment="1">
      <alignment horizontal="center" vertical="center"/>
    </xf>
    <xf numFmtId="1" fontId="49" fillId="27" borderId="0" xfId="0" applyNumberFormat="1" applyFont="1" applyFill="1" applyAlignment="1">
      <alignment vertical="center"/>
    </xf>
    <xf numFmtId="0" fontId="49" fillId="27" borderId="0" xfId="0" applyFont="1" applyFill="1" applyAlignment="1">
      <alignment horizontal="center" vertical="center"/>
    </xf>
    <xf numFmtId="0" fontId="49" fillId="0" borderId="0" xfId="0" applyFont="1" applyAlignment="1">
      <alignment horizontal="center" vertical="center"/>
    </xf>
    <xf numFmtId="0" fontId="35" fillId="28" borderId="0" xfId="0" applyFont="1" applyFill="1" applyAlignment="1">
      <alignment vertical="center"/>
    </xf>
    <xf numFmtId="43" fontId="35" fillId="28" borderId="0" xfId="7" applyFont="1" applyFill="1" applyAlignment="1">
      <alignment vertical="center"/>
    </xf>
    <xf numFmtId="43" fontId="16" fillId="28" borderId="0" xfId="0" applyNumberFormat="1" applyFont="1" applyFill="1" applyAlignment="1">
      <alignment horizontal="center" vertical="center"/>
    </xf>
    <xf numFmtId="0" fontId="56" fillId="0" borderId="0" xfId="0" applyFont="1" applyAlignment="1">
      <alignment horizontal="center" vertical="center"/>
    </xf>
    <xf numFmtId="0" fontId="0" fillId="29" borderId="12" xfId="0" applyFill="1" applyBorder="1" applyAlignment="1">
      <alignment horizontal="center" vertical="center"/>
    </xf>
    <xf numFmtId="9" fontId="0" fillId="29" borderId="12" xfId="0" applyNumberFormat="1" applyFill="1" applyBorder="1" applyAlignment="1">
      <alignment horizontal="center" vertical="center"/>
    </xf>
    <xf numFmtId="9" fontId="0" fillId="29" borderId="12" xfId="8" applyFont="1" applyFill="1" applyBorder="1" applyAlignment="1">
      <alignment horizontal="center" vertical="center"/>
    </xf>
    <xf numFmtId="1" fontId="0" fillId="29" borderId="12" xfId="0" applyNumberFormat="1" applyFill="1" applyBorder="1" applyAlignment="1">
      <alignment horizontal="center" vertical="center"/>
    </xf>
    <xf numFmtId="167" fontId="0" fillId="29" borderId="12" xfId="0" applyNumberFormat="1" applyFill="1" applyBorder="1" applyAlignment="1">
      <alignment horizontal="center" vertical="center"/>
    </xf>
    <xf numFmtId="0" fontId="0" fillId="0" borderId="12" xfId="0" applyBorder="1" applyAlignment="1">
      <alignment horizontal="center" vertical="center" wrapText="1"/>
    </xf>
    <xf numFmtId="0" fontId="0" fillId="0" borderId="12" xfId="0" applyBorder="1" applyAlignment="1">
      <alignment horizontal="center" vertical="center"/>
    </xf>
    <xf numFmtId="43" fontId="0" fillId="0" borderId="12" xfId="7" quotePrefix="1" applyFont="1" applyFill="1" applyBorder="1" applyAlignment="1">
      <alignment horizontal="center" vertical="center"/>
    </xf>
    <xf numFmtId="9" fontId="0" fillId="0" borderId="12" xfId="8" applyFont="1" applyFill="1" applyBorder="1" applyAlignment="1">
      <alignment horizontal="center" vertical="center"/>
    </xf>
    <xf numFmtId="9" fontId="0" fillId="0" borderId="12" xfId="0" applyNumberFormat="1" applyBorder="1" applyAlignment="1">
      <alignment horizontal="center" vertical="center"/>
    </xf>
    <xf numFmtId="9" fontId="0" fillId="0" borderId="12" xfId="8" applyFont="1" applyBorder="1" applyAlignment="1">
      <alignment horizontal="center" vertical="center"/>
    </xf>
    <xf numFmtId="43" fontId="0" fillId="0" borderId="12" xfId="7" quotePrefix="1" applyFont="1" applyBorder="1" applyAlignment="1">
      <alignment horizontal="center" vertical="center"/>
    </xf>
    <xf numFmtId="43" fontId="0" fillId="0" borderId="12" xfId="7" applyFont="1" applyFill="1" applyBorder="1" applyAlignment="1">
      <alignment horizontal="center" vertical="center"/>
    </xf>
    <xf numFmtId="1" fontId="0" fillId="0" borderId="12" xfId="0" applyNumberFormat="1" applyBorder="1" applyAlignment="1">
      <alignment horizontal="center" vertical="center"/>
    </xf>
    <xf numFmtId="43" fontId="0" fillId="0" borderId="12" xfId="7" applyFont="1" applyBorder="1" applyAlignment="1">
      <alignment horizontal="center" vertical="center"/>
    </xf>
    <xf numFmtId="43" fontId="0" fillId="0" borderId="12" xfId="0" applyNumberFormat="1" applyBorder="1" applyAlignment="1">
      <alignment horizontal="center" vertical="center"/>
    </xf>
    <xf numFmtId="0" fontId="0" fillId="0" borderId="12" xfId="0" applyBorder="1" applyAlignment="1">
      <alignment horizontal="left" vertical="center" wrapText="1"/>
    </xf>
    <xf numFmtId="0" fontId="47" fillId="0" borderId="12" xfId="0" applyFont="1" applyBorder="1" applyAlignment="1">
      <alignment horizontal="left" vertical="center" wrapText="1"/>
    </xf>
    <xf numFmtId="0" fontId="47" fillId="0" borderId="12" xfId="0" applyFont="1" applyBorder="1" applyAlignment="1">
      <alignment horizontal="left" vertical="center"/>
    </xf>
    <xf numFmtId="0" fontId="36" fillId="0" borderId="12" xfId="0" applyFont="1" applyBorder="1" applyAlignment="1">
      <alignment horizontal="left" vertical="center" wrapText="1"/>
    </xf>
    <xf numFmtId="0" fontId="0" fillId="0" borderId="12" xfId="0" applyBorder="1" applyAlignment="1">
      <alignment horizontal="left" vertical="center"/>
    </xf>
    <xf numFmtId="0" fontId="0" fillId="21" borderId="12" xfId="0" applyFill="1" applyBorder="1" applyAlignment="1">
      <alignment horizontal="left" vertical="center"/>
    </xf>
    <xf numFmtId="0" fontId="0" fillId="30" borderId="12" xfId="0" applyFill="1" applyBorder="1" applyAlignment="1">
      <alignment horizontal="center" vertical="center"/>
    </xf>
    <xf numFmtId="9" fontId="0" fillId="30" borderId="12" xfId="8" applyFont="1" applyFill="1" applyBorder="1" applyAlignment="1">
      <alignment horizontal="center" vertical="center"/>
    </xf>
    <xf numFmtId="9" fontId="0" fillId="30" borderId="12" xfId="0" applyNumberFormat="1" applyFill="1" applyBorder="1" applyAlignment="1">
      <alignment horizontal="center" vertical="center"/>
    </xf>
    <xf numFmtId="1" fontId="0" fillId="30" borderId="12" xfId="0" applyNumberFormat="1" applyFill="1" applyBorder="1" applyAlignment="1">
      <alignment horizontal="center" vertical="center"/>
    </xf>
    <xf numFmtId="0" fontId="0" fillId="0" borderId="76" xfId="0" applyBorder="1" applyAlignment="1">
      <alignment horizontal="center" vertical="center"/>
    </xf>
    <xf numFmtId="0" fontId="0" fillId="0" borderId="76" xfId="0" applyBorder="1" applyAlignment="1">
      <alignment horizontal="center" vertical="center" wrapText="1"/>
    </xf>
    <xf numFmtId="0" fontId="0" fillId="0" borderId="76" xfId="0" applyBorder="1" applyAlignment="1">
      <alignment horizontal="left" vertical="center" wrapText="1"/>
    </xf>
    <xf numFmtId="0" fontId="0" fillId="0" borderId="76" xfId="0" applyBorder="1" applyAlignment="1">
      <alignment horizontal="left" vertical="center"/>
    </xf>
    <xf numFmtId="0" fontId="49" fillId="28" borderId="76" xfId="0" applyFont="1" applyFill="1" applyBorder="1" applyAlignment="1">
      <alignment horizontal="left" vertical="center" wrapText="1"/>
    </xf>
    <xf numFmtId="9" fontId="0" fillId="29" borderId="76" xfId="0" applyNumberFormat="1" applyFill="1" applyBorder="1" applyAlignment="1">
      <alignment horizontal="center" vertical="center"/>
    </xf>
    <xf numFmtId="0" fontId="0" fillId="30" borderId="76" xfId="0" applyFill="1" applyBorder="1" applyAlignment="1">
      <alignment horizontal="center" vertical="center"/>
    </xf>
    <xf numFmtId="0" fontId="0" fillId="31" borderId="76" xfId="0" applyFill="1" applyBorder="1" applyAlignment="1">
      <alignment horizontal="center" vertical="center"/>
    </xf>
    <xf numFmtId="43" fontId="0" fillId="0" borderId="76" xfId="7" applyFont="1" applyFill="1" applyBorder="1" applyAlignment="1">
      <alignment horizontal="center" vertical="center"/>
    </xf>
    <xf numFmtId="43" fontId="0" fillId="0" borderId="76" xfId="7" quotePrefix="1" applyFont="1" applyFill="1" applyBorder="1" applyAlignment="1">
      <alignment horizontal="center" vertical="center"/>
    </xf>
    <xf numFmtId="9" fontId="0" fillId="0" borderId="76" xfId="8" applyFont="1" applyBorder="1" applyAlignment="1">
      <alignment horizontal="center" vertical="center"/>
    </xf>
    <xf numFmtId="0" fontId="0" fillId="0" borderId="77" xfId="0" applyBorder="1" applyAlignment="1">
      <alignment horizontal="center" vertical="center"/>
    </xf>
    <xf numFmtId="0" fontId="49" fillId="28" borderId="12" xfId="0" applyFont="1" applyFill="1" applyBorder="1" applyAlignment="1">
      <alignment horizontal="left" vertical="center" wrapText="1"/>
    </xf>
    <xf numFmtId="0" fontId="0" fillId="31" borderId="12" xfId="0" applyFill="1" applyBorder="1" applyAlignment="1">
      <alignment horizontal="center" vertical="center"/>
    </xf>
    <xf numFmtId="0" fontId="0" fillId="0" borderId="79" xfId="0" applyBorder="1" applyAlignment="1">
      <alignment horizontal="center" vertical="center"/>
    </xf>
    <xf numFmtId="0" fontId="0" fillId="0" borderId="81" xfId="0" applyBorder="1" applyAlignment="1">
      <alignment horizontal="center" vertical="center"/>
    </xf>
    <xf numFmtId="0" fontId="0" fillId="0" borderId="81" xfId="0" applyBorder="1" applyAlignment="1">
      <alignment horizontal="center" vertical="center" wrapText="1"/>
    </xf>
    <xf numFmtId="0" fontId="0" fillId="0" borderId="81" xfId="0" applyBorder="1" applyAlignment="1">
      <alignment horizontal="left" vertical="center" wrapText="1"/>
    </xf>
    <xf numFmtId="0" fontId="0" fillId="0" borderId="81" xfId="0" applyBorder="1" applyAlignment="1">
      <alignment horizontal="left" vertical="center"/>
    </xf>
    <xf numFmtId="0" fontId="0" fillId="21" borderId="81" xfId="0" applyFill="1" applyBorder="1" applyAlignment="1">
      <alignment horizontal="left" vertical="center"/>
    </xf>
    <xf numFmtId="0" fontId="49" fillId="28" borderId="81" xfId="0" applyFont="1" applyFill="1" applyBorder="1" applyAlignment="1">
      <alignment horizontal="left" vertical="center" wrapText="1"/>
    </xf>
    <xf numFmtId="9" fontId="0" fillId="29" borderId="81" xfId="0" applyNumberFormat="1" applyFill="1" applyBorder="1" applyAlignment="1">
      <alignment horizontal="center" vertical="center"/>
    </xf>
    <xf numFmtId="0" fontId="0" fillId="30" borderId="81" xfId="0" applyFill="1" applyBorder="1" applyAlignment="1">
      <alignment horizontal="center" vertical="center"/>
    </xf>
    <xf numFmtId="0" fontId="0" fillId="31" borderId="81" xfId="0" applyFill="1" applyBorder="1" applyAlignment="1">
      <alignment horizontal="center" vertical="center"/>
    </xf>
    <xf numFmtId="43" fontId="0" fillId="0" borderId="81" xfId="7" applyFont="1" applyBorder="1" applyAlignment="1">
      <alignment horizontal="center" vertical="center"/>
    </xf>
    <xf numFmtId="43" fontId="0" fillId="0" borderId="81" xfId="7" quotePrefix="1" applyFont="1" applyFill="1" applyBorder="1" applyAlignment="1">
      <alignment horizontal="center" vertical="center"/>
    </xf>
    <xf numFmtId="9" fontId="0" fillId="0" borderId="81" xfId="8" applyFont="1" applyBorder="1" applyAlignment="1">
      <alignment horizontal="center" vertical="center"/>
    </xf>
    <xf numFmtId="0" fontId="0" fillId="0" borderId="82" xfId="0" applyBorder="1" applyAlignment="1">
      <alignment horizontal="center" vertical="center"/>
    </xf>
    <xf numFmtId="9" fontId="0" fillId="29" borderId="76" xfId="8" applyFont="1" applyFill="1" applyBorder="1" applyAlignment="1">
      <alignment horizontal="center" vertical="center"/>
    </xf>
    <xf numFmtId="43" fontId="0" fillId="14" borderId="12" xfId="7" applyFont="1" applyFill="1" applyBorder="1" applyAlignment="1">
      <alignment horizontal="center" vertical="center"/>
    </xf>
    <xf numFmtId="9" fontId="0" fillId="29" borderId="81" xfId="8" applyFont="1" applyFill="1" applyBorder="1" applyAlignment="1">
      <alignment horizontal="center" vertical="center"/>
    </xf>
    <xf numFmtId="9" fontId="0" fillId="30" borderId="81" xfId="0" applyNumberFormat="1" applyFill="1" applyBorder="1" applyAlignment="1">
      <alignment horizontal="center" vertical="center"/>
    </xf>
    <xf numFmtId="43" fontId="0" fillId="0" borderId="81" xfId="7" applyFont="1" applyFill="1" applyBorder="1" applyAlignment="1">
      <alignment horizontal="center" vertical="center"/>
    </xf>
    <xf numFmtId="9" fontId="0" fillId="0" borderId="81" xfId="0" applyNumberFormat="1" applyBorder="1" applyAlignment="1">
      <alignment horizontal="center" vertical="center"/>
    </xf>
    <xf numFmtId="9" fontId="0" fillId="30" borderId="76" xfId="0" applyNumberFormat="1" applyFill="1" applyBorder="1" applyAlignment="1">
      <alignment horizontal="center" vertical="center"/>
    </xf>
    <xf numFmtId="9" fontId="0" fillId="0" borderId="76" xfId="8" applyFont="1" applyFill="1" applyBorder="1" applyAlignment="1">
      <alignment horizontal="center" vertical="center"/>
    </xf>
    <xf numFmtId="9" fontId="0" fillId="0" borderId="12" xfId="0" applyNumberFormat="1" applyBorder="1" applyAlignment="1">
      <alignment horizontal="left" vertical="center"/>
    </xf>
    <xf numFmtId="43" fontId="0" fillId="0" borderId="12" xfId="7" applyFont="1" applyBorder="1" applyAlignment="1">
      <alignment horizontal="left" vertical="center"/>
    </xf>
    <xf numFmtId="165" fontId="35" fillId="28" borderId="76" xfId="7" applyNumberFormat="1" applyFont="1" applyFill="1" applyBorder="1" applyAlignment="1">
      <alignment horizontal="center" vertical="center"/>
    </xf>
    <xf numFmtId="165" fontId="35" fillId="28" borderId="12" xfId="7" applyNumberFormat="1" applyFont="1" applyFill="1" applyBorder="1" applyAlignment="1">
      <alignment horizontal="center" vertical="center"/>
    </xf>
    <xf numFmtId="165" fontId="35" fillId="28" borderId="81" xfId="7" applyNumberFormat="1" applyFont="1" applyFill="1" applyBorder="1" applyAlignment="1">
      <alignment horizontal="center" vertical="center"/>
    </xf>
    <xf numFmtId="9" fontId="0" fillId="0" borderId="76" xfId="0" applyNumberFormat="1" applyBorder="1" applyAlignment="1">
      <alignment horizontal="center" vertical="center"/>
    </xf>
    <xf numFmtId="1" fontId="0" fillId="0" borderId="76" xfId="0" applyNumberFormat="1" applyBorder="1" applyAlignment="1">
      <alignment horizontal="center" vertical="center"/>
    </xf>
    <xf numFmtId="43" fontId="0" fillId="0" borderId="76" xfId="7" applyFont="1" applyBorder="1" applyAlignment="1">
      <alignment horizontal="center" vertical="center"/>
    </xf>
    <xf numFmtId="10" fontId="0" fillId="0" borderId="12" xfId="0" applyNumberFormat="1" applyBorder="1" applyAlignment="1">
      <alignment horizontal="center" vertical="center"/>
    </xf>
    <xf numFmtId="164" fontId="0" fillId="0" borderId="12" xfId="7" applyNumberFormat="1" applyFont="1" applyFill="1" applyBorder="1" applyAlignment="1">
      <alignment horizontal="center" vertical="center"/>
    </xf>
    <xf numFmtId="167" fontId="0" fillId="0" borderId="12" xfId="0" applyNumberFormat="1" applyBorder="1" applyAlignment="1">
      <alignment horizontal="center" vertical="center"/>
    </xf>
    <xf numFmtId="0" fontId="10" fillId="0" borderId="12" xfId="0" applyFont="1" applyBorder="1" applyAlignment="1">
      <alignment horizontal="left" vertical="center"/>
    </xf>
    <xf numFmtId="164" fontId="0" fillId="0" borderId="12" xfId="0" applyNumberFormat="1" applyBorder="1" applyAlignment="1">
      <alignment horizontal="center" vertical="center"/>
    </xf>
    <xf numFmtId="1" fontId="0" fillId="0" borderId="81" xfId="0" applyNumberFormat="1" applyBorder="1" applyAlignment="1">
      <alignment horizontal="center" vertical="center"/>
    </xf>
    <xf numFmtId="10" fontId="0" fillId="16" borderId="12" xfId="0" applyNumberFormat="1" applyFill="1" applyBorder="1" applyAlignment="1">
      <alignment horizontal="center" vertical="center"/>
    </xf>
    <xf numFmtId="9" fontId="0" fillId="16" borderId="12" xfId="0" applyNumberFormat="1" applyFill="1" applyBorder="1" applyAlignment="1">
      <alignment horizontal="center" vertical="center"/>
    </xf>
    <xf numFmtId="0" fontId="0" fillId="29" borderId="81" xfId="0" applyFill="1" applyBorder="1" applyAlignment="1">
      <alignment horizontal="center" vertical="center"/>
    </xf>
    <xf numFmtId="10" fontId="0" fillId="0" borderId="81" xfId="0" applyNumberFormat="1" applyBorder="1" applyAlignment="1">
      <alignment horizontal="center" vertical="center"/>
    </xf>
    <xf numFmtId="0" fontId="0" fillId="29" borderId="76" xfId="0" applyFill="1" applyBorder="1" applyAlignment="1">
      <alignment horizontal="center" vertical="center"/>
    </xf>
    <xf numFmtId="0" fontId="36" fillId="0" borderId="12" xfId="0" applyFont="1" applyBorder="1" applyAlignment="1">
      <alignment horizontal="center" vertical="center"/>
    </xf>
    <xf numFmtId="0" fontId="0" fillId="0" borderId="76" xfId="0" quotePrefix="1" applyBorder="1" applyAlignment="1">
      <alignment horizontal="center" vertical="center"/>
    </xf>
    <xf numFmtId="167" fontId="0" fillId="0" borderId="0" xfId="8" applyNumberFormat="1" applyFont="1" applyAlignment="1">
      <alignment horizontal="center" vertical="center"/>
    </xf>
    <xf numFmtId="165" fontId="1" fillId="0" borderId="0" xfId="0" applyNumberFormat="1" applyFont="1"/>
    <xf numFmtId="9" fontId="0" fillId="21" borderId="12" xfId="0" applyNumberFormat="1" applyFill="1" applyBorder="1" applyAlignment="1">
      <alignment horizontal="center" vertical="center"/>
    </xf>
    <xf numFmtId="0" fontId="57" fillId="0" borderId="12" xfId="0" applyFont="1" applyBorder="1" applyAlignment="1">
      <alignment horizontal="left" vertical="center" wrapText="1"/>
    </xf>
    <xf numFmtId="0" fontId="0" fillId="21" borderId="12" xfId="0" applyFill="1" applyBorder="1" applyAlignment="1">
      <alignment horizontal="center" vertical="center"/>
    </xf>
    <xf numFmtId="0" fontId="0" fillId="0" borderId="8" xfId="0" applyBorder="1" applyAlignment="1">
      <alignment horizontal="center" vertical="center"/>
    </xf>
    <xf numFmtId="0" fontId="0" fillId="0" borderId="8" xfId="0" applyBorder="1" applyAlignment="1">
      <alignment horizontal="left" vertical="center" wrapText="1"/>
    </xf>
    <xf numFmtId="0" fontId="0" fillId="0" borderId="8" xfId="0" applyBorder="1" applyAlignment="1">
      <alignment horizontal="left" vertical="center"/>
    </xf>
    <xf numFmtId="0" fontId="49" fillId="28" borderId="8" xfId="0" applyFont="1" applyFill="1" applyBorder="1" applyAlignment="1">
      <alignment horizontal="left" vertical="center" wrapText="1"/>
    </xf>
    <xf numFmtId="0" fontId="0" fillId="30" borderId="8" xfId="0" applyFill="1" applyBorder="1" applyAlignment="1">
      <alignment horizontal="center" vertical="center"/>
    </xf>
    <xf numFmtId="0" fontId="0" fillId="31" borderId="8" xfId="0" applyFill="1" applyBorder="1" applyAlignment="1">
      <alignment horizontal="center" vertical="center"/>
    </xf>
    <xf numFmtId="43" fontId="0" fillId="0" borderId="8" xfId="7" applyFont="1" applyFill="1" applyBorder="1" applyAlignment="1">
      <alignment horizontal="center" vertical="center"/>
    </xf>
    <xf numFmtId="43" fontId="0" fillId="0" borderId="8" xfId="7" quotePrefix="1" applyFont="1" applyFill="1" applyBorder="1" applyAlignment="1">
      <alignment horizontal="center" vertical="center"/>
    </xf>
    <xf numFmtId="9" fontId="0" fillId="0" borderId="8" xfId="0" applyNumberFormat="1" applyBorder="1" applyAlignment="1">
      <alignment horizontal="center" vertical="center"/>
    </xf>
    <xf numFmtId="165" fontId="35" fillId="28" borderId="8" xfId="7" applyNumberFormat="1" applyFont="1" applyFill="1" applyBorder="1" applyAlignment="1">
      <alignment horizontal="center" vertical="center"/>
    </xf>
    <xf numFmtId="9" fontId="0" fillId="0" borderId="8" xfId="8" applyFont="1" applyBorder="1" applyAlignment="1">
      <alignment horizontal="center" vertical="center"/>
    </xf>
    <xf numFmtId="0" fontId="0" fillId="0" borderId="84" xfId="0" applyBorder="1" applyAlignment="1">
      <alignment horizontal="center" vertical="center"/>
    </xf>
    <xf numFmtId="9" fontId="0" fillId="29" borderId="8" xfId="0" applyNumberFormat="1" applyFill="1" applyBorder="1" applyAlignment="1">
      <alignment horizontal="center" vertical="center"/>
    </xf>
    <xf numFmtId="165" fontId="0" fillId="0" borderId="0" xfId="7" applyNumberFormat="1" applyFont="1"/>
    <xf numFmtId="0" fontId="0" fillId="21" borderId="12" xfId="0" applyFill="1" applyBorder="1" applyAlignment="1">
      <alignment horizontal="left" vertical="center" wrapText="1"/>
    </xf>
    <xf numFmtId="170" fontId="0" fillId="29" borderId="12" xfId="7" applyNumberFormat="1" applyFont="1" applyFill="1" applyBorder="1" applyAlignment="1">
      <alignment horizontal="center" vertical="center"/>
    </xf>
    <xf numFmtId="0" fontId="59" fillId="0" borderId="0" xfId="0" applyFont="1" applyAlignment="1">
      <alignment horizontal="center" vertical="center"/>
    </xf>
    <xf numFmtId="0" fontId="0" fillId="0" borderId="0" xfId="0" applyAlignment="1">
      <alignment horizontal="left"/>
    </xf>
    <xf numFmtId="0" fontId="1" fillId="0" borderId="0" xfId="0" applyFont="1" applyAlignment="1">
      <alignment horizontal="left" vertical="center"/>
    </xf>
    <xf numFmtId="165" fontId="1" fillId="0" borderId="0" xfId="7" applyNumberFormat="1" applyFont="1"/>
    <xf numFmtId="1" fontId="1" fillId="0" borderId="0" xfId="0" applyNumberFormat="1" applyFont="1"/>
    <xf numFmtId="0" fontId="0" fillId="0" borderId="18" xfId="0" applyBorder="1" applyAlignment="1">
      <alignment horizontal="left" vertical="center"/>
    </xf>
    <xf numFmtId="0" fontId="0" fillId="0" borderId="85" xfId="0" applyBorder="1"/>
    <xf numFmtId="164" fontId="58" fillId="0" borderId="86" xfId="0" applyNumberFormat="1" applyFont="1" applyBorder="1"/>
    <xf numFmtId="0" fontId="0" fillId="0" borderId="87" xfId="0" applyBorder="1"/>
    <xf numFmtId="164" fontId="58" fillId="0" borderId="88" xfId="0" applyNumberFormat="1" applyFont="1" applyBorder="1"/>
    <xf numFmtId="0" fontId="0" fillId="0" borderId="89" xfId="0" applyBorder="1"/>
    <xf numFmtId="164" fontId="58" fillId="0" borderId="90" xfId="0" applyNumberFormat="1" applyFont="1" applyBorder="1"/>
    <xf numFmtId="0" fontId="60" fillId="0" borderId="0" xfId="0" applyFont="1"/>
    <xf numFmtId="0" fontId="0" fillId="32" borderId="0" xfId="0" applyFill="1"/>
    <xf numFmtId="0" fontId="0" fillId="10" borderId="0" xfId="0" applyFill="1" applyAlignment="1">
      <alignment horizontal="center" vertical="center" wrapText="1"/>
    </xf>
    <xf numFmtId="0" fontId="0" fillId="10" borderId="0" xfId="0" applyFill="1" applyAlignment="1">
      <alignment horizontal="left" vertical="center" wrapText="1"/>
    </xf>
    <xf numFmtId="0" fontId="0" fillId="10" borderId="0" xfId="0" applyFill="1"/>
    <xf numFmtId="0" fontId="61" fillId="10" borderId="0" xfId="0" applyFont="1" applyFill="1" applyAlignment="1">
      <alignment horizontal="center" vertical="center" wrapText="1"/>
    </xf>
    <xf numFmtId="0" fontId="0" fillId="33" borderId="0" xfId="0" applyFill="1" applyAlignment="1">
      <alignment horizontal="left" vertical="center" wrapText="1"/>
    </xf>
    <xf numFmtId="0" fontId="0" fillId="33" borderId="0" xfId="0" applyFill="1" applyAlignment="1">
      <alignment vertical="center" wrapText="1"/>
    </xf>
    <xf numFmtId="0" fontId="36" fillId="0" borderId="0" xfId="0" applyFont="1" applyAlignment="1">
      <alignment vertical="center" wrapText="1"/>
    </xf>
    <xf numFmtId="0" fontId="0" fillId="34" borderId="0" xfId="0" applyFill="1" applyAlignment="1">
      <alignment horizontal="left" vertical="center" wrapText="1"/>
    </xf>
    <xf numFmtId="0" fontId="0" fillId="35" borderId="0" xfId="0" applyFill="1" applyAlignment="1">
      <alignment horizontal="left" vertical="center" wrapText="1"/>
    </xf>
    <xf numFmtId="0" fontId="0" fillId="34" borderId="0" xfId="0" applyFill="1" applyAlignment="1">
      <alignment vertical="center" wrapText="1"/>
    </xf>
    <xf numFmtId="0" fontId="0" fillId="20" borderId="12" xfId="0" applyFill="1" applyBorder="1" applyAlignment="1">
      <alignment horizontal="left" vertical="center" wrapText="1"/>
    </xf>
    <xf numFmtId="0" fontId="33" fillId="0" borderId="0" xfId="0" applyFont="1" applyAlignment="1">
      <alignment horizontal="left" vertical="center" wrapText="1"/>
    </xf>
    <xf numFmtId="0" fontId="0" fillId="35" borderId="0" xfId="0" applyFill="1" applyAlignment="1">
      <alignment vertical="center" wrapText="1"/>
    </xf>
    <xf numFmtId="9" fontId="0" fillId="23" borderId="12" xfId="0" applyNumberFormat="1" applyFill="1" applyBorder="1" applyAlignment="1">
      <alignment horizontal="center" vertical="center"/>
    </xf>
    <xf numFmtId="0" fontId="0" fillId="0" borderId="11" xfId="0" applyBorder="1" applyAlignment="1">
      <alignment horizontal="center" vertical="center"/>
    </xf>
    <xf numFmtId="0" fontId="0" fillId="0" borderId="11" xfId="0" applyBorder="1" applyAlignment="1">
      <alignment horizontal="left" vertical="center" wrapText="1"/>
    </xf>
    <xf numFmtId="0" fontId="0" fillId="0" borderId="11" xfId="0" applyBorder="1" applyAlignment="1">
      <alignment horizontal="left" vertical="center"/>
    </xf>
    <xf numFmtId="0" fontId="49" fillId="28" borderId="11" xfId="0" applyFont="1" applyFill="1" applyBorder="1" applyAlignment="1">
      <alignment horizontal="left" vertical="center" wrapText="1"/>
    </xf>
    <xf numFmtId="0" fontId="0" fillId="29" borderId="11" xfId="0" applyFill="1" applyBorder="1" applyAlignment="1">
      <alignment horizontal="center" vertical="center"/>
    </xf>
    <xf numFmtId="0" fontId="0" fillId="30" borderId="11" xfId="0" applyFill="1" applyBorder="1" applyAlignment="1">
      <alignment horizontal="center" vertical="center"/>
    </xf>
    <xf numFmtId="0" fontId="0" fillId="31" borderId="11" xfId="0" applyFill="1" applyBorder="1" applyAlignment="1">
      <alignment horizontal="center" vertical="center"/>
    </xf>
    <xf numFmtId="1" fontId="0" fillId="0" borderId="11" xfId="0" applyNumberFormat="1" applyBorder="1" applyAlignment="1">
      <alignment horizontal="center" vertical="center"/>
    </xf>
    <xf numFmtId="0" fontId="0" fillId="0" borderId="92" xfId="0" applyBorder="1" applyAlignment="1">
      <alignment horizontal="center" vertical="center"/>
    </xf>
    <xf numFmtId="0" fontId="59" fillId="0" borderId="0" xfId="0" applyFont="1" applyAlignment="1">
      <alignment vertical="center" wrapText="1"/>
    </xf>
    <xf numFmtId="0" fontId="36" fillId="35" borderId="0" xfId="0" applyFont="1" applyFill="1" applyAlignment="1">
      <alignment horizontal="left" vertical="center" wrapText="1"/>
    </xf>
    <xf numFmtId="0" fontId="36" fillId="34" borderId="0" xfId="0" applyFont="1" applyFill="1" applyAlignment="1">
      <alignment vertical="center" wrapText="1"/>
    </xf>
    <xf numFmtId="0" fontId="36" fillId="0" borderId="0" xfId="0" applyFont="1" applyAlignment="1">
      <alignment horizontal="center" vertical="center" wrapText="1"/>
    </xf>
    <xf numFmtId="0" fontId="0" fillId="0" borderId="76" xfId="0" applyBorder="1" applyAlignment="1">
      <alignment horizontal="center" vertical="center" wrapText="1"/>
    </xf>
    <xf numFmtId="0" fontId="0" fillId="0" borderId="12" xfId="0" applyBorder="1" applyAlignment="1">
      <alignment horizontal="center" vertical="center" wrapText="1"/>
    </xf>
    <xf numFmtId="0" fontId="0" fillId="0" borderId="81" xfId="0" applyBorder="1" applyAlignment="1">
      <alignment horizontal="center" vertical="center" wrapText="1"/>
    </xf>
    <xf numFmtId="0" fontId="0" fillId="0" borderId="75" xfId="0" applyBorder="1" applyAlignment="1">
      <alignment horizontal="center" vertical="center" wrapText="1"/>
    </xf>
    <xf numFmtId="0" fontId="0" fillId="0" borderId="78" xfId="0" applyBorder="1" applyAlignment="1">
      <alignment horizontal="center" vertical="center" wrapText="1"/>
    </xf>
    <xf numFmtId="0" fontId="0" fillId="0" borderId="80" xfId="0"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wrapText="1"/>
    </xf>
    <xf numFmtId="0" fontId="39" fillId="0" borderId="0" xfId="0" applyFont="1" applyAlignment="1">
      <alignment horizontal="center"/>
    </xf>
    <xf numFmtId="0" fontId="40" fillId="0" borderId="0" xfId="0" applyFont="1" applyAlignment="1">
      <alignment horizontal="center"/>
    </xf>
    <xf numFmtId="0" fontId="41" fillId="0" borderId="0" xfId="0" applyFont="1" applyAlignment="1">
      <alignment horizontal="center"/>
    </xf>
    <xf numFmtId="0" fontId="0" fillId="0" borderId="0" xfId="0" applyAlignment="1">
      <alignment horizontal="left" vertical="center"/>
    </xf>
    <xf numFmtId="0" fontId="0" fillId="0" borderId="67" xfId="0" applyBorder="1" applyAlignment="1">
      <alignment horizontal="left" vertical="center"/>
    </xf>
    <xf numFmtId="165" fontId="0" fillId="0" borderId="0" xfId="0" applyNumberFormat="1" applyAlignment="1">
      <alignment horizontal="left" vertical="center"/>
    </xf>
    <xf numFmtId="165" fontId="0" fillId="0" borderId="67" xfId="0" applyNumberFormat="1" applyBorder="1" applyAlignment="1">
      <alignment horizontal="left" vertical="center"/>
    </xf>
    <xf numFmtId="9" fontId="0" fillId="0" borderId="0" xfId="8" applyFont="1" applyBorder="1" applyAlignment="1">
      <alignment horizontal="center" vertical="center"/>
    </xf>
    <xf numFmtId="9" fontId="0" fillId="0" borderId="67" xfId="8" applyFont="1" applyBorder="1" applyAlignment="1">
      <alignment horizontal="center" vertical="center"/>
    </xf>
    <xf numFmtId="9" fontId="0" fillId="0" borderId="39" xfId="8" applyFont="1" applyBorder="1" applyAlignment="1">
      <alignment horizontal="center" vertical="center"/>
    </xf>
    <xf numFmtId="9" fontId="0" fillId="0" borderId="54" xfId="8" applyFont="1" applyBorder="1" applyAlignment="1">
      <alignment horizontal="center" vertical="center"/>
    </xf>
    <xf numFmtId="0" fontId="0" fillId="0" borderId="39" xfId="0" applyBorder="1" applyAlignment="1">
      <alignment horizontal="left" vertical="center"/>
    </xf>
    <xf numFmtId="165" fontId="0" fillId="0" borderId="39" xfId="0" applyNumberFormat="1" applyBorder="1" applyAlignment="1">
      <alignment horizontal="center" vertical="center"/>
    </xf>
    <xf numFmtId="165" fontId="0" fillId="0" borderId="0" xfId="0" applyNumberFormat="1" applyAlignment="1">
      <alignment horizontal="center" vertical="center"/>
    </xf>
    <xf numFmtId="165" fontId="0" fillId="0" borderId="54" xfId="0" applyNumberFormat="1" applyBorder="1" applyAlignment="1">
      <alignment horizontal="center" vertical="center"/>
    </xf>
    <xf numFmtId="0" fontId="0" fillId="0" borderId="54" xfId="0" applyBorder="1" applyAlignment="1">
      <alignment horizontal="left" vertical="center"/>
    </xf>
    <xf numFmtId="165" fontId="0" fillId="0" borderId="39" xfId="7" applyNumberFormat="1" applyFont="1" applyBorder="1" applyAlignment="1">
      <alignment horizontal="center" vertical="center"/>
    </xf>
    <xf numFmtId="165" fontId="0" fillId="0" borderId="0" xfId="7" applyNumberFormat="1" applyFont="1" applyBorder="1" applyAlignment="1">
      <alignment horizontal="center" vertical="center"/>
    </xf>
    <xf numFmtId="165" fontId="0" fillId="0" borderId="44" xfId="7" applyNumberFormat="1" applyFont="1" applyBorder="1" applyAlignment="1">
      <alignment horizontal="center" vertical="center"/>
    </xf>
    <xf numFmtId="165" fontId="0" fillId="0" borderId="51" xfId="0" applyNumberFormat="1" applyBorder="1" applyAlignment="1">
      <alignment horizontal="center" vertical="center"/>
    </xf>
    <xf numFmtId="165" fontId="0" fillId="0" borderId="59" xfId="0" applyNumberFormat="1" applyBorder="1" applyAlignment="1">
      <alignment horizontal="center" vertical="center"/>
    </xf>
    <xf numFmtId="165" fontId="0" fillId="0" borderId="62" xfId="0" applyNumberFormat="1" applyBorder="1" applyAlignment="1">
      <alignment horizontal="center" vertical="center"/>
    </xf>
    <xf numFmtId="165" fontId="0" fillId="0" borderId="67" xfId="0" applyNumberFormat="1" applyBorder="1" applyAlignment="1">
      <alignment horizontal="center" vertical="center"/>
    </xf>
    <xf numFmtId="9" fontId="0" fillId="0" borderId="44" xfId="8" applyFont="1" applyBorder="1" applyAlignment="1">
      <alignment horizontal="center" vertical="center"/>
    </xf>
    <xf numFmtId="9" fontId="0" fillId="0" borderId="51" xfId="8" applyFont="1" applyBorder="1" applyAlignment="1">
      <alignment horizontal="center" vertical="center"/>
    </xf>
    <xf numFmtId="9" fontId="0" fillId="0" borderId="59" xfId="8" applyFont="1" applyBorder="1" applyAlignment="1">
      <alignment horizontal="center" vertical="center"/>
    </xf>
    <xf numFmtId="9" fontId="0" fillId="0" borderId="62" xfId="8" applyFont="1" applyBorder="1" applyAlignment="1">
      <alignment horizontal="center" vertical="center"/>
    </xf>
    <xf numFmtId="43" fontId="0" fillId="0" borderId="35" xfId="7" applyFont="1" applyBorder="1" applyAlignment="1">
      <alignment horizontal="center" vertical="center"/>
    </xf>
    <xf numFmtId="43" fontId="0" fillId="0" borderId="36" xfId="7" applyFont="1" applyBorder="1" applyAlignment="1">
      <alignment horizontal="center" vertical="center"/>
    </xf>
    <xf numFmtId="43" fontId="0" fillId="0" borderId="37" xfId="7" applyFont="1" applyBorder="1" applyAlignment="1">
      <alignment horizontal="center" vertical="center"/>
    </xf>
    <xf numFmtId="43" fontId="0" fillId="0" borderId="18" xfId="0" applyNumberFormat="1" applyBorder="1" applyAlignment="1">
      <alignment horizontal="center" vertical="center"/>
    </xf>
    <xf numFmtId="0" fontId="0" fillId="0" borderId="23" xfId="0" applyBorder="1" applyAlignment="1">
      <alignment horizontal="center" vertical="center"/>
    </xf>
    <xf numFmtId="9" fontId="0" fillId="0" borderId="18" xfId="8" applyFont="1" applyBorder="1" applyAlignment="1">
      <alignment horizontal="right" vertical="center"/>
    </xf>
    <xf numFmtId="9" fontId="0" fillId="0" borderId="0" xfId="8" applyFont="1" applyBorder="1" applyAlignment="1">
      <alignment horizontal="right" vertical="center"/>
    </xf>
    <xf numFmtId="9" fontId="0" fillId="0" borderId="23" xfId="8" applyFont="1" applyBorder="1" applyAlignment="1">
      <alignment horizontal="right" vertical="center"/>
    </xf>
    <xf numFmtId="0" fontId="0" fillId="0" borderId="38" xfId="0" applyBorder="1" applyAlignment="1">
      <alignment horizontal="center" vertical="center"/>
    </xf>
    <xf numFmtId="0" fontId="0" fillId="0" borderId="41" xfId="0" applyBorder="1" applyAlignment="1">
      <alignment horizontal="center" vertical="center"/>
    </xf>
    <xf numFmtId="0" fontId="0" fillId="0" borderId="43" xfId="0" applyBorder="1" applyAlignment="1">
      <alignment horizontal="center" vertical="center"/>
    </xf>
    <xf numFmtId="0" fontId="0" fillId="0" borderId="46" xfId="0" applyBorder="1" applyAlignment="1">
      <alignment horizontal="center" vertical="center"/>
    </xf>
    <xf numFmtId="0" fontId="0" fillId="0" borderId="48" xfId="0" applyBorder="1" applyAlignment="1">
      <alignment horizontal="center" vertical="center"/>
    </xf>
    <xf numFmtId="0" fontId="0" fillId="0" borderId="50" xfId="0" applyBorder="1" applyAlignment="1">
      <alignment horizontal="center" vertical="center"/>
    </xf>
    <xf numFmtId="0" fontId="0" fillId="0" borderId="53" xfId="0" applyBorder="1" applyAlignment="1">
      <alignment horizontal="center" vertical="center"/>
    </xf>
    <xf numFmtId="0" fontId="0" fillId="0" borderId="56" xfId="0" applyBorder="1" applyAlignment="1">
      <alignment horizontal="center" vertical="center"/>
    </xf>
    <xf numFmtId="0" fontId="0" fillId="0" borderId="58" xfId="0" applyBorder="1" applyAlignment="1">
      <alignment horizontal="center" vertical="center"/>
    </xf>
    <xf numFmtId="0" fontId="0" fillId="0" borderId="61" xfId="0" applyBorder="1" applyAlignment="1">
      <alignment horizontal="center" vertical="center"/>
    </xf>
    <xf numFmtId="0" fontId="0" fillId="0" borderId="64" xfId="0" applyBorder="1" applyAlignment="1">
      <alignment horizontal="center" vertical="center"/>
    </xf>
    <xf numFmtId="0" fontId="0" fillId="0" borderId="66" xfId="0" applyBorder="1" applyAlignment="1">
      <alignment horizontal="center" vertical="center"/>
    </xf>
    <xf numFmtId="165" fontId="0" fillId="0" borderId="23" xfId="7" applyNumberFormat="1" applyFont="1" applyBorder="1" applyAlignment="1">
      <alignment horizontal="center" vertical="center"/>
    </xf>
    <xf numFmtId="9" fontId="0" fillId="0" borderId="23" xfId="8" applyFont="1" applyBorder="1" applyAlignment="1">
      <alignment horizontal="center" vertical="center"/>
    </xf>
    <xf numFmtId="9" fontId="0" fillId="0" borderId="35" xfId="8" applyFont="1" applyBorder="1" applyAlignment="1">
      <alignment horizontal="center" vertical="center"/>
    </xf>
    <xf numFmtId="9" fontId="0" fillId="0" borderId="36" xfId="8" applyFont="1" applyBorder="1" applyAlignment="1">
      <alignment horizontal="center" vertical="center"/>
    </xf>
    <xf numFmtId="9" fontId="0" fillId="0" borderId="37" xfId="8" applyFont="1" applyBorder="1" applyAlignment="1">
      <alignment horizontal="center" vertical="center"/>
    </xf>
    <xf numFmtId="43" fontId="0" fillId="0" borderId="18" xfId="8" applyNumberFormat="1" applyFont="1" applyBorder="1" applyAlignment="1">
      <alignment horizontal="center" vertical="center"/>
    </xf>
    <xf numFmtId="0" fontId="0" fillId="24" borderId="28" xfId="0" applyFill="1" applyBorder="1" applyAlignment="1">
      <alignment horizontal="center" vertical="center"/>
    </xf>
    <xf numFmtId="0" fontId="0" fillId="24" borderId="30" xfId="0" applyFill="1" applyBorder="1" applyAlignment="1">
      <alignment horizontal="center" vertical="center"/>
    </xf>
    <xf numFmtId="0" fontId="0" fillId="24" borderId="31" xfId="0" applyFill="1" applyBorder="1" applyAlignment="1">
      <alignment horizontal="center" vertical="center"/>
    </xf>
    <xf numFmtId="0" fontId="0" fillId="24" borderId="32" xfId="0" applyFill="1" applyBorder="1" applyAlignment="1">
      <alignment horizontal="center" vertical="center"/>
    </xf>
    <xf numFmtId="43" fontId="0" fillId="0" borderId="0" xfId="0" applyNumberFormat="1" applyAlignment="1">
      <alignment horizontal="center" vertical="center"/>
    </xf>
    <xf numFmtId="165" fontId="0" fillId="0" borderId="18" xfId="7" applyNumberFormat="1" applyFont="1" applyBorder="1" applyAlignment="1">
      <alignment horizontal="center" vertical="center"/>
    </xf>
    <xf numFmtId="9" fontId="0" fillId="0" borderId="18" xfId="8" applyFont="1" applyBorder="1" applyAlignment="1">
      <alignment horizontal="center" vertical="center"/>
    </xf>
    <xf numFmtId="0" fontId="1" fillId="0" borderId="17" xfId="0" applyFont="1" applyBorder="1" applyAlignment="1">
      <alignment horizontal="center" vertical="center"/>
    </xf>
    <xf numFmtId="0" fontId="1" fillId="0" borderId="20" xfId="0" applyFont="1" applyBorder="1" applyAlignment="1">
      <alignment horizontal="center" vertical="center"/>
    </xf>
    <xf numFmtId="0" fontId="1" fillId="0" borderId="22" xfId="0" applyFont="1" applyBorder="1" applyAlignment="1">
      <alignment horizontal="center" vertical="center"/>
    </xf>
    <xf numFmtId="165" fontId="0" fillId="0" borderId="18" xfId="0" applyNumberFormat="1" applyBorder="1" applyAlignment="1">
      <alignment horizontal="center" vertical="center"/>
    </xf>
    <xf numFmtId="165" fontId="0" fillId="0" borderId="23" xfId="0" applyNumberFormat="1" applyBorder="1" applyAlignment="1">
      <alignment horizontal="center" vertical="center"/>
    </xf>
    <xf numFmtId="9" fontId="0" fillId="0" borderId="19" xfId="8" applyFont="1" applyBorder="1" applyAlignment="1">
      <alignment horizontal="center" vertical="center"/>
    </xf>
    <xf numFmtId="9" fontId="0" fillId="0" borderId="21" xfId="8" applyFont="1" applyBorder="1" applyAlignment="1">
      <alignment horizontal="center" vertical="center"/>
    </xf>
    <xf numFmtId="9" fontId="0" fillId="0" borderId="24" xfId="8" applyFont="1" applyBorder="1" applyAlignment="1">
      <alignment horizontal="center" vertical="center"/>
    </xf>
    <xf numFmtId="0" fontId="0" fillId="0" borderId="18" xfId="0" applyBorder="1" applyAlignment="1">
      <alignment horizontal="center" vertical="center"/>
    </xf>
    <xf numFmtId="165" fontId="1" fillId="0" borderId="18" xfId="0" applyNumberFormat="1" applyFont="1" applyBorder="1" applyAlignment="1">
      <alignment horizontal="center" vertical="center" wrapText="1"/>
    </xf>
    <xf numFmtId="165" fontId="1" fillId="0" borderId="0" xfId="0" applyNumberFormat="1" applyFont="1" applyAlignment="1">
      <alignment horizontal="center" vertical="center" wrapText="1"/>
    </xf>
    <xf numFmtId="165" fontId="1" fillId="0" borderId="23" xfId="0" applyNumberFormat="1" applyFont="1" applyBorder="1" applyAlignment="1">
      <alignment horizontal="center" vertical="center" wrapText="1"/>
    </xf>
    <xf numFmtId="9" fontId="0" fillId="0" borderId="18" xfId="8" applyFont="1" applyBorder="1" applyAlignment="1">
      <alignment horizontal="center" vertical="center" wrapText="1"/>
    </xf>
    <xf numFmtId="0" fontId="0" fillId="0" borderId="20" xfId="0" applyBorder="1" applyAlignment="1">
      <alignment horizontal="center" vertical="center" wrapText="1"/>
    </xf>
    <xf numFmtId="0" fontId="0" fillId="0" borderId="20" xfId="0" applyBorder="1" applyAlignment="1">
      <alignment horizontal="center" vertical="center"/>
    </xf>
    <xf numFmtId="43" fontId="0" fillId="0" borderId="0" xfId="7" applyFont="1" applyBorder="1" applyAlignment="1">
      <alignment horizontal="center" vertical="center" wrapText="1"/>
    </xf>
    <xf numFmtId="43" fontId="0" fillId="0" borderId="0" xfId="7" applyFont="1" applyBorder="1" applyAlignment="1">
      <alignment horizontal="center" vertical="center"/>
    </xf>
    <xf numFmtId="9" fontId="0" fillId="0" borderId="0" xfId="8" applyFont="1" applyBorder="1" applyAlignment="1">
      <alignment horizontal="center" vertical="center" wrapText="1"/>
    </xf>
    <xf numFmtId="0" fontId="0" fillId="0" borderId="17" xfId="0" applyBorder="1" applyAlignment="1">
      <alignment horizontal="center" vertical="center" wrapText="1"/>
    </xf>
    <xf numFmtId="43" fontId="0" fillId="0" borderId="18" xfId="7" applyFont="1" applyBorder="1" applyAlignment="1">
      <alignment horizontal="center" vertical="center" wrapText="1"/>
    </xf>
    <xf numFmtId="0" fontId="0" fillId="0" borderId="17" xfId="0" applyBorder="1" applyAlignment="1">
      <alignment horizontal="center" vertical="center"/>
    </xf>
    <xf numFmtId="0" fontId="0" fillId="0" borderId="22" xfId="0" applyBorder="1" applyAlignment="1">
      <alignment horizontal="center" vertical="center"/>
    </xf>
    <xf numFmtId="43" fontId="0" fillId="0" borderId="18" xfId="7" applyFont="1" applyBorder="1" applyAlignment="1">
      <alignment horizontal="center" vertical="center"/>
    </xf>
    <xf numFmtId="43" fontId="0" fillId="0" borderId="23" xfId="7" applyFont="1" applyBorder="1" applyAlignment="1">
      <alignment horizontal="center" vertical="center"/>
    </xf>
    <xf numFmtId="168" fontId="0" fillId="0" borderId="39" xfId="0" applyNumberFormat="1" applyBorder="1" applyAlignment="1">
      <alignment horizontal="center" vertical="center"/>
    </xf>
    <xf numFmtId="168" fontId="0" fillId="0" borderId="0" xfId="0" applyNumberFormat="1" applyAlignment="1">
      <alignment horizontal="center" vertical="center"/>
    </xf>
    <xf numFmtId="168" fontId="0" fillId="0" borderId="44" xfId="0" applyNumberFormat="1" applyBorder="1" applyAlignment="1">
      <alignment horizontal="center" vertical="center"/>
    </xf>
    <xf numFmtId="9" fontId="0" fillId="0" borderId="39" xfId="0" applyNumberFormat="1" applyBorder="1" applyAlignment="1">
      <alignment horizontal="center" vertical="center"/>
    </xf>
    <xf numFmtId="9" fontId="0" fillId="0" borderId="0" xfId="0" applyNumberFormat="1" applyAlignment="1">
      <alignment horizontal="center" vertical="center"/>
    </xf>
    <xf numFmtId="9" fontId="0" fillId="0" borderId="44" xfId="0" applyNumberFormat="1" applyBorder="1" applyAlignment="1">
      <alignment horizontal="center" vertical="center"/>
    </xf>
    <xf numFmtId="168" fontId="0" fillId="0" borderId="54" xfId="0" applyNumberFormat="1" applyBorder="1" applyAlignment="1">
      <alignment horizontal="center" vertical="center"/>
    </xf>
    <xf numFmtId="168" fontId="0" fillId="0" borderId="59" xfId="0" applyNumberFormat="1" applyBorder="1" applyAlignment="1">
      <alignment horizontal="center" vertical="center"/>
    </xf>
    <xf numFmtId="9" fontId="0" fillId="0" borderId="54" xfId="0" applyNumberFormat="1" applyBorder="1" applyAlignment="1">
      <alignment horizontal="center" vertical="center"/>
    </xf>
    <xf numFmtId="9" fontId="0" fillId="0" borderId="59" xfId="0" applyNumberFormat="1" applyBorder="1" applyAlignment="1">
      <alignment horizontal="center" vertical="center"/>
    </xf>
    <xf numFmtId="0" fontId="0" fillId="0" borderId="51" xfId="0" applyBorder="1" applyAlignment="1">
      <alignment horizontal="left" vertical="center"/>
    </xf>
    <xf numFmtId="43" fontId="0" fillId="0" borderId="39" xfId="0" applyNumberFormat="1" applyBorder="1" applyAlignment="1">
      <alignment horizontal="center" vertical="center"/>
    </xf>
    <xf numFmtId="43" fontId="0" fillId="0" borderId="51" xfId="0" applyNumberFormat="1" applyBorder="1" applyAlignment="1">
      <alignment horizontal="center" vertical="center"/>
    </xf>
    <xf numFmtId="43" fontId="0" fillId="0" borderId="46" xfId="0" applyNumberFormat="1" applyBorder="1" applyAlignment="1">
      <alignment horizontal="center" vertical="center"/>
    </xf>
    <xf numFmtId="43" fontId="0" fillId="0" borderId="48" xfId="0" applyNumberFormat="1" applyBorder="1" applyAlignment="1">
      <alignment horizontal="center" vertical="center"/>
    </xf>
    <xf numFmtId="43" fontId="0" fillId="0" borderId="50" xfId="0" applyNumberFormat="1" applyBorder="1" applyAlignment="1">
      <alignment horizontal="center" vertical="center"/>
    </xf>
    <xf numFmtId="9" fontId="0" fillId="0" borderId="38" xfId="0" applyNumberFormat="1" applyBorder="1" applyAlignment="1">
      <alignment horizontal="center" vertical="center"/>
    </xf>
    <xf numFmtId="9" fontId="0" fillId="0" borderId="41" xfId="0" applyNumberFormat="1" applyBorder="1" applyAlignment="1">
      <alignment horizontal="center" vertical="center"/>
    </xf>
    <xf numFmtId="9" fontId="0" fillId="0" borderId="43" xfId="0" applyNumberFormat="1" applyBorder="1" applyAlignment="1">
      <alignment horizontal="center" vertical="center"/>
    </xf>
    <xf numFmtId="168" fontId="0" fillId="0" borderId="51" xfId="0" applyNumberFormat="1" applyBorder="1" applyAlignment="1">
      <alignment horizontal="center" vertical="center"/>
    </xf>
    <xf numFmtId="9" fontId="0" fillId="0" borderId="51" xfId="0" applyNumberFormat="1" applyBorder="1" applyAlignment="1">
      <alignment horizontal="center" vertical="center"/>
    </xf>
    <xf numFmtId="43" fontId="0" fillId="0" borderId="53" xfId="0" applyNumberFormat="1" applyBorder="1" applyAlignment="1">
      <alignment horizontal="center" vertical="center"/>
    </xf>
    <xf numFmtId="43" fontId="0" fillId="0" borderId="56" xfId="0" applyNumberFormat="1" applyBorder="1" applyAlignment="1">
      <alignment horizontal="center" vertical="center"/>
    </xf>
    <xf numFmtId="43" fontId="0" fillId="0" borderId="58" xfId="0" applyNumberFormat="1" applyBorder="1" applyAlignment="1">
      <alignment horizontal="center" vertical="center"/>
    </xf>
    <xf numFmtId="0" fontId="0" fillId="0" borderId="91" xfId="0" applyBorder="1" applyAlignment="1">
      <alignment horizontal="center" vertical="center" wrapText="1"/>
    </xf>
    <xf numFmtId="0" fontId="0" fillId="0" borderId="11" xfId="0" applyBorder="1" applyAlignment="1">
      <alignment horizontal="center" vertical="center" wrapText="1"/>
    </xf>
    <xf numFmtId="0" fontId="0" fillId="0" borderId="83"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21" borderId="0" xfId="0" applyFill="1" applyAlignment="1">
      <alignment horizontal="center" vertical="center" wrapText="1"/>
    </xf>
    <xf numFmtId="49" fontId="0" fillId="0" borderId="0" xfId="0" applyNumberFormat="1" applyAlignment="1">
      <alignment horizontal="center" vertical="center" wrapText="1"/>
    </xf>
    <xf numFmtId="0" fontId="54" fillId="0" borderId="0" xfId="0" applyFont="1" applyAlignment="1">
      <alignment horizontal="center"/>
    </xf>
    <xf numFmtId="1" fontId="0" fillId="0" borderId="39" xfId="0" applyNumberFormat="1" applyBorder="1" applyAlignment="1">
      <alignment horizontal="center" vertical="center" wrapText="1"/>
    </xf>
    <xf numFmtId="1" fontId="0" fillId="0" borderId="0" xfId="0" applyNumberFormat="1" applyAlignment="1">
      <alignment horizontal="center" vertical="center" wrapText="1"/>
    </xf>
    <xf numFmtId="1" fontId="0" fillId="0" borderId="44" xfId="0" applyNumberFormat="1" applyBorder="1" applyAlignment="1">
      <alignment horizontal="center" vertical="center" wrapText="1"/>
    </xf>
    <xf numFmtId="1" fontId="0" fillId="0" borderId="51" xfId="0" applyNumberFormat="1" applyBorder="1" applyAlignment="1">
      <alignment horizontal="center" vertical="center" wrapText="1"/>
    </xf>
    <xf numFmtId="1" fontId="0" fillId="0" borderId="54" xfId="0" applyNumberFormat="1" applyBorder="1" applyAlignment="1">
      <alignment horizontal="center" vertical="center" wrapText="1"/>
    </xf>
    <xf numFmtId="1" fontId="0" fillId="0" borderId="59" xfId="0" applyNumberFormat="1" applyBorder="1" applyAlignment="1">
      <alignment horizontal="center" vertical="center" wrapText="1"/>
    </xf>
    <xf numFmtId="9" fontId="0" fillId="0" borderId="39" xfId="8" applyFont="1" applyBorder="1" applyAlignment="1">
      <alignment horizontal="center" vertical="center" wrapText="1"/>
    </xf>
    <xf numFmtId="9" fontId="0" fillId="0" borderId="44" xfId="8" applyFont="1" applyBorder="1" applyAlignment="1">
      <alignment horizontal="center" vertical="center" wrapText="1"/>
    </xf>
    <xf numFmtId="9" fontId="0" fillId="0" borderId="51" xfId="8" applyFont="1" applyBorder="1" applyAlignment="1">
      <alignment horizontal="center" vertical="center" wrapText="1"/>
    </xf>
    <xf numFmtId="0" fontId="53" fillId="0" borderId="0" xfId="0" applyFont="1" applyAlignment="1">
      <alignment horizontal="center"/>
    </xf>
    <xf numFmtId="0" fontId="0" fillId="0" borderId="38" xfId="0" applyBorder="1" applyAlignment="1">
      <alignment horizontal="center" vertical="center" wrapText="1"/>
    </xf>
    <xf numFmtId="0" fontId="0" fillId="0" borderId="41" xfId="0" applyBorder="1" applyAlignment="1">
      <alignment horizontal="center" vertical="center" wrapText="1"/>
    </xf>
    <xf numFmtId="0" fontId="0" fillId="0" borderId="43" xfId="0" applyBorder="1" applyAlignment="1">
      <alignment horizontal="center" vertical="center" wrapText="1"/>
    </xf>
    <xf numFmtId="0" fontId="0" fillId="0" borderId="46" xfId="0" applyBorder="1" applyAlignment="1">
      <alignment horizontal="center" vertical="center" wrapText="1"/>
    </xf>
    <xf numFmtId="0" fontId="0" fillId="0" borderId="50" xfId="0" applyBorder="1" applyAlignment="1">
      <alignment horizontal="center" vertical="center" wrapText="1"/>
    </xf>
    <xf numFmtId="0" fontId="0" fillId="0" borderId="53" xfId="0" applyBorder="1" applyAlignment="1">
      <alignment horizontal="center" vertical="center" wrapText="1"/>
    </xf>
    <xf numFmtId="0" fontId="0" fillId="0" borderId="56" xfId="0" applyBorder="1" applyAlignment="1">
      <alignment horizontal="center" vertical="center" wrapText="1"/>
    </xf>
    <xf numFmtId="0" fontId="0" fillId="0" borderId="58" xfId="0" applyBorder="1" applyAlignment="1">
      <alignment horizontal="center" vertical="center" wrapText="1"/>
    </xf>
    <xf numFmtId="9" fontId="0" fillId="0" borderId="54" xfId="8" applyFont="1" applyBorder="1" applyAlignment="1">
      <alignment horizontal="center" vertical="center" wrapText="1"/>
    </xf>
    <xf numFmtId="9" fontId="0" fillId="0" borderId="59" xfId="8" applyFont="1" applyBorder="1" applyAlignment="1">
      <alignment horizontal="center" vertical="center" wrapText="1"/>
    </xf>
    <xf numFmtId="0" fontId="14" fillId="0" borderId="16" xfId="0" applyFont="1" applyBorder="1" applyAlignment="1">
      <alignment horizontal="center" wrapText="1"/>
    </xf>
    <xf numFmtId="0" fontId="15" fillId="12" borderId="0" xfId="0" applyFont="1" applyFill="1" applyAlignment="1">
      <alignment horizontal="left" vertical="center"/>
    </xf>
    <xf numFmtId="0" fontId="3" fillId="9" borderId="8" xfId="0" applyFont="1" applyFill="1" applyBorder="1" applyAlignment="1">
      <alignment horizontal="center" vertical="center" textRotation="90" wrapText="1"/>
    </xf>
    <xf numFmtId="0" fontId="3" fillId="9" borderId="10" xfId="0" applyFont="1" applyFill="1" applyBorder="1" applyAlignment="1">
      <alignment horizontal="center" vertical="center" textRotation="90" wrapText="1"/>
    </xf>
    <xf numFmtId="0" fontId="3" fillId="9" borderId="11" xfId="0" applyFont="1" applyFill="1" applyBorder="1" applyAlignment="1">
      <alignment horizontal="center" vertical="center" textRotation="90" wrapText="1"/>
    </xf>
    <xf numFmtId="0" fontId="15" fillId="5" borderId="16" xfId="0" applyFont="1" applyFill="1" applyBorder="1" applyAlignment="1">
      <alignment horizontal="left" vertical="center" wrapText="1"/>
    </xf>
    <xf numFmtId="0" fontId="15" fillId="15" borderId="0" xfId="0" applyFont="1" applyFill="1" applyAlignment="1">
      <alignment horizontal="left" vertical="center" wrapText="1"/>
    </xf>
    <xf numFmtId="0" fontId="15" fillId="4" borderId="0" xfId="0" applyFont="1" applyFill="1" applyAlignment="1">
      <alignment horizontal="left" vertical="center" wrapText="1"/>
    </xf>
    <xf numFmtId="0" fontId="14" fillId="9" borderId="10" xfId="0" applyFont="1" applyFill="1" applyBorder="1" applyAlignment="1">
      <alignment horizontal="center" vertical="center" textRotation="90" wrapText="1"/>
    </xf>
    <xf numFmtId="0" fontId="14" fillId="9" borderId="8" xfId="0" applyFont="1" applyFill="1" applyBorder="1" applyAlignment="1">
      <alignment horizontal="center" vertical="center" textRotation="90" wrapText="1"/>
    </xf>
    <xf numFmtId="0" fontId="14" fillId="9" borderId="11" xfId="0" applyFont="1" applyFill="1" applyBorder="1" applyAlignment="1">
      <alignment horizontal="center" vertical="center" textRotation="90" wrapText="1"/>
    </xf>
    <xf numFmtId="0" fontId="14" fillId="0" borderId="9" xfId="0" applyFont="1" applyBorder="1" applyAlignment="1">
      <alignment horizontal="center" wrapText="1"/>
    </xf>
  </cellXfs>
  <cellStyles count="11">
    <cellStyle name="Hyperlink 2" xfId="4" xr:uid="{C902C319-9F47-4977-B819-592EF1F817D7}"/>
    <cellStyle name="Milliers" xfId="7" builtinId="3"/>
    <cellStyle name="Milliers 2" xfId="10" xr:uid="{AD0F3037-9A6E-47FA-A413-40A0EC54F996}"/>
    <cellStyle name="Neutral 2" xfId="2" xr:uid="{A9DA40F9-54D6-4A1C-AD8D-DA9347F0AE90}"/>
    <cellStyle name="Normal" xfId="0" builtinId="0"/>
    <cellStyle name="Normal 2" xfId="3" xr:uid="{86B02DFE-143D-4B3E-81AF-F8AE98B9DA7B}"/>
    <cellStyle name="Normal 2 2" xfId="5" xr:uid="{C339DB56-FACC-48B1-9994-07345EB31C19}"/>
    <cellStyle name="Normal 3" xfId="6" xr:uid="{37E46AEE-9EDE-40D8-BDFD-77BB236561D1}"/>
    <cellStyle name="Normal 4" xfId="1" xr:uid="{D737DFC5-858E-40C6-ACE2-0492883D40B3}"/>
    <cellStyle name="Pourcentage" xfId="8" builtinId="5"/>
    <cellStyle name="Satisfaisant" xfId="9" builtinId="26"/>
  </cellStyles>
  <dxfs count="3">
    <dxf>
      <fill>
        <patternFill>
          <bgColor rgb="FF005091"/>
        </patternFill>
      </fill>
    </dxf>
    <dxf>
      <fill>
        <patternFill>
          <bgColor rgb="FF019CDB"/>
        </patternFill>
      </fill>
    </dxf>
    <dxf>
      <fill>
        <patternFill>
          <bgColor rgb="FF89C7EB"/>
        </patternFill>
      </fill>
    </dxf>
  </dxfs>
  <tableStyles count="0" defaultTableStyle="TableStyleMedium2" defaultPivotStyle="PivotStyleLight16"/>
  <colors>
    <mruColors>
      <color rgb="FFF2E5FF"/>
      <color rgb="FFE0C1FF"/>
      <color rgb="FFCC99FF"/>
      <color rgb="FF89C7EB"/>
      <color rgb="FF019CDB"/>
      <color rgb="FFFDC300"/>
      <color rgb="FF005091"/>
      <color rgb="FFCC9900"/>
      <color rgb="FF9966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5.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Ex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2.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Ex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Ex4.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5.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BE"/>
              <a:t>Individual emission reductions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spPr>
            <a:solidFill>
              <a:schemeClr val="accent1"/>
            </a:solidFill>
            <a:ln>
              <a:noFill/>
            </a:ln>
            <a:effectLst/>
          </c:spPr>
          <c:invertIfNegative val="0"/>
          <c:val>
            <c:numRef>
              <c:f>Admin_2024!$AA$2:$AA$38</c:f>
              <c:numCache>
                <c:formatCode>_-* #,##0_-;\-* #,##0_-;_-* "-"??_-;_-@_-</c:formatCode>
                <c:ptCount val="37"/>
                <c:pt idx="0">
                  <c:v>0</c:v>
                </c:pt>
                <c:pt idx="1">
                  <c:v>0</c:v>
                </c:pt>
                <c:pt idx="2">
                  <c:v>0</c:v>
                </c:pt>
                <c:pt idx="3">
                  <c:v>35.076000000000008</c:v>
                </c:pt>
                <c:pt idx="4">
                  <c:v>0</c:v>
                </c:pt>
                <c:pt idx="5">
                  <c:v>0</c:v>
                </c:pt>
                <c:pt idx="6">
                  <c:v>0</c:v>
                </c:pt>
                <c:pt idx="7">
                  <c:v>0</c:v>
                </c:pt>
                <c:pt idx="8">
                  <c:v>0</c:v>
                </c:pt>
                <c:pt idx="9">
                  <c:v>0</c:v>
                </c:pt>
                <c:pt idx="10">
                  <c:v>0</c:v>
                </c:pt>
                <c:pt idx="11">
                  <c:v>0</c:v>
                </c:pt>
                <c:pt idx="12">
                  <c:v>0</c:v>
                </c:pt>
                <c:pt idx="13">
                  <c:v>0</c:v>
                </c:pt>
                <c:pt idx="14">
                  <c:v>0</c:v>
                </c:pt>
                <c:pt idx="15">
                  <c:v>0</c:v>
                </c:pt>
                <c:pt idx="16">
                  <c:v>605.59338958836292</c:v>
                </c:pt>
                <c:pt idx="17">
                  <c:v>0</c:v>
                </c:pt>
                <c:pt idx="18">
                  <c:v>0</c:v>
                </c:pt>
                <c:pt idx="19">
                  <c:v>0</c:v>
                </c:pt>
                <c:pt idx="20">
                  <c:v>212.48890862749576</c:v>
                </c:pt>
                <c:pt idx="21">
                  <c:v>4.4752469999999995</c:v>
                </c:pt>
                <c:pt idx="22">
                  <c:v>0</c:v>
                </c:pt>
                <c:pt idx="23">
                  <c:v>0</c:v>
                </c:pt>
                <c:pt idx="25">
                  <c:v>0</c:v>
                </c:pt>
                <c:pt idx="26">
                  <c:v>26.783741250000002</c:v>
                </c:pt>
                <c:pt idx="29">
                  <c:v>37.664636132812504</c:v>
                </c:pt>
                <c:pt idx="30">
                  <c:v>25.173264374999995</c:v>
                </c:pt>
                <c:pt idx="31">
                  <c:v>0</c:v>
                </c:pt>
                <c:pt idx="32">
                  <c:v>64.448377382812509</c:v>
                </c:pt>
                <c:pt idx="34">
                  <c:v>1.7855827500000003</c:v>
                </c:pt>
                <c:pt idx="35">
                  <c:v>1.0655349999999999</c:v>
                </c:pt>
              </c:numCache>
            </c:numRef>
          </c:val>
          <c:extLst>
            <c:ext xmlns:c15="http://schemas.microsoft.com/office/drawing/2012/chart" uri="{02D57815-91ED-43cb-92C2-25804820EDAC}">
              <c15:filteredCategoryTitle>
                <c15:cat>
                  <c:multiLvlStrRef>
                    <c:extLst>
                      <c:ext uri="{02D57815-91ED-43cb-92C2-25804820EDAC}">
                        <c15:formulaRef>
                          <c15:sqref>Admin_2024!$F$2:$F$38</c15:sqref>
                        </c15:formulaRef>
                      </c:ext>
                    </c:extLst>
                  </c:multiLvlStrRef>
                </c15:cat>
              </c15:filteredCategoryTitle>
            </c:ext>
            <c:ext xmlns:c16="http://schemas.microsoft.com/office/drawing/2014/chart" uri="{C3380CC4-5D6E-409C-BE32-E72D297353CC}">
              <c16:uniqueId val="{00000002-E0C6-42D8-8B97-60249BC235C5}"/>
            </c:ext>
          </c:extLst>
        </c:ser>
        <c:dLbls>
          <c:showLegendKey val="0"/>
          <c:showVal val="0"/>
          <c:showCatName val="0"/>
          <c:showSerName val="0"/>
          <c:showPercent val="0"/>
          <c:showBubbleSize val="0"/>
        </c:dLbls>
        <c:gapWidth val="219"/>
        <c:overlap val="-27"/>
        <c:axId val="300178096"/>
        <c:axId val="300170192"/>
      </c:barChart>
      <c:catAx>
        <c:axId val="300178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00170192"/>
        <c:crosses val="autoZero"/>
        <c:auto val="1"/>
        <c:lblAlgn val="ctr"/>
        <c:lblOffset val="100"/>
        <c:noMultiLvlLbl val="0"/>
      </c:catAx>
      <c:valAx>
        <c:axId val="300170192"/>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0017809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Energie bâtiments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v>Energie</c:v>
          </c:tx>
          <c:spPr>
            <a:solidFill>
              <a:srgbClr val="019CD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BarType val="both"/>
            <c:errValType val="cust"/>
            <c:noEndCap val="1"/>
            <c:plus>
              <c:numRef>
                <c:f>('Plan Climat_Admin_2030'!#REF!,'Plan Climat_Admin_2030'!#REF!,'Plan Climat_Admin_2030'!#REF!,'Plan Climat_Admin_2030'!#REF!,'Plan Climat_Admin_2030'!#REF!)</c:f>
                <c:numCache>
                  <c:formatCode>General</c:formatCode>
                  <c:ptCount val="1"/>
                  <c:pt idx="0">
                    <c:v>1</c:v>
                  </c:pt>
                </c:numCache>
              </c:numRef>
            </c:plus>
            <c:minus>
              <c:numRef>
                <c:f>('Plan Climat_Admin_2030'!#REF!,'Plan Climat_Admin_2030'!#REF!,'Plan Climat_Admin_2030'!#REF!,'Plan Climat_Admin_2030'!#REF!,'Plan Climat_Admin_2030'!#REF!)</c:f>
                <c:numCache>
                  <c:formatCode>General</c:formatCode>
                  <c:ptCount val="1"/>
                  <c:pt idx="0">
                    <c:v>1</c:v>
                  </c:pt>
                </c:numCache>
              </c:numRef>
            </c:minus>
            <c:spPr>
              <a:noFill/>
              <a:ln w="12700" cap="flat" cmpd="sng" algn="ctr">
                <a:solidFill>
                  <a:srgbClr val="89C7EB"/>
                </a:solidFill>
                <a:round/>
              </a:ln>
              <a:effectLst/>
            </c:spPr>
          </c:errBars>
          <c:val>
            <c:numRef>
              <c:f>('Plan Climat_Admin_2030'!#REF!,'Plan Climat_Admin_2030'!#REF!,'Plan Climat_Admin_2030'!#REF!,'Plan Climat_Admin_2030'!#REF!)</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('Plan Climat_Admin_2030'!#REF!,'Plan Climat_Admin_2030'!#REF!,'Plan Climat_Admin_2030'!#REF!,'Plan Climat_Admin_2030'!#REF!)</c15:sqref>
                        </c15:formulaRef>
                      </c:ext>
                    </c:extLst>
                  </c:strRef>
                </c15:cat>
              </c15:filteredCategoryTitle>
            </c:ext>
            <c:ext xmlns:c16="http://schemas.microsoft.com/office/drawing/2014/chart" uri="{C3380CC4-5D6E-409C-BE32-E72D297353CC}">
              <c16:uniqueId val="{00000000-9DCB-4241-B308-16FE28A32C8A}"/>
            </c:ext>
          </c:extLst>
        </c:ser>
        <c:dLbls>
          <c:showLegendKey val="0"/>
          <c:showVal val="0"/>
          <c:showCatName val="0"/>
          <c:showSerName val="0"/>
          <c:showPercent val="0"/>
          <c:showBubbleSize val="0"/>
        </c:dLbls>
        <c:gapWidth val="219"/>
        <c:overlap val="-27"/>
        <c:axId val="1245804847"/>
        <c:axId val="1245789871"/>
      </c:barChart>
      <c:catAx>
        <c:axId val="12458048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45789871"/>
        <c:crosses val="autoZero"/>
        <c:auto val="1"/>
        <c:lblAlgn val="ctr"/>
        <c:lblOffset val="100"/>
        <c:noMultiLvlLbl val="0"/>
      </c:catAx>
      <c:valAx>
        <c:axId val="12457898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BE"/>
                  <a:t>Estimation réductions (tCO2e)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458048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Mobilité et transport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v>Mobilité et transport</c:v>
          </c:tx>
          <c:spPr>
            <a:solidFill>
              <a:srgbClr val="019CD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BarType val="both"/>
            <c:errValType val="cust"/>
            <c:noEndCap val="1"/>
            <c:plus>
              <c:numRef>
                <c:f>('Plan Climat_Admin_2030'!#REF!,'Plan Climat_Admin_2030'!#REF!,'Plan Climat_Admin_2030'!#REF!,'Plan Climat_Admin_2030'!#REF!,'Plan Climat_Admin_2030'!#REF!,'Plan Climat_Admin_2030'!#REF!,'Plan Climat_Admin_2030'!#REF!)</c:f>
                <c:numCache>
                  <c:formatCode>General</c:formatCode>
                  <c:ptCount val="1"/>
                  <c:pt idx="0">
                    <c:v>1</c:v>
                  </c:pt>
                </c:numCache>
              </c:numRef>
            </c:plus>
            <c:minus>
              <c:numRef>
                <c:f>('Plan Climat_Admin_2030'!#REF!,'Plan Climat_Admin_2030'!#REF!,'Plan Climat_Admin_2030'!#REF!,'Plan Climat_Admin_2030'!#REF!,'Plan Climat_Admin_2030'!#REF!,'Plan Climat_Admin_2030'!#REF!,'Plan Climat_Admin_2030'!#REF!)</c:f>
                <c:numCache>
                  <c:formatCode>General</c:formatCode>
                  <c:ptCount val="1"/>
                  <c:pt idx="0">
                    <c:v>1</c:v>
                  </c:pt>
                </c:numCache>
              </c:numRef>
            </c:minus>
            <c:spPr>
              <a:noFill/>
              <a:ln w="12700" cap="flat" cmpd="sng" algn="ctr">
                <a:solidFill>
                  <a:srgbClr val="89C7EB"/>
                </a:solidFill>
                <a:round/>
              </a:ln>
              <a:effectLst/>
            </c:spPr>
          </c:errBars>
          <c:val>
            <c:numRef>
              <c:f>('Plan Climat_Admin_2030'!#REF!,'Plan Climat_Admin_2030'!#REF!,'Plan Climat_Admin_2030'!#REF!,'Plan Climat_Admin_2030'!#REF!,'Plan Climat_Admin_2030'!#REF!,'Plan Climat_Admin_2030'!#REF!,'Plan Climat_Admin_2030'!#REF!)</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('Plan Climat_Admin_2030'!#REF!,'Plan Climat_Admin_2030'!#REF!,'Plan Climat_Admin_2030'!#REF!,'Plan Climat_Admin_2030'!#REF!,'Plan Climat_Admin_2030'!#REF!,'Plan Climat_Admin_2030'!#REF!,'Plan Climat_Admin_2030'!#REF!)</c15:sqref>
                        </c15:formulaRef>
                      </c:ext>
                    </c:extLst>
                  </c:strRef>
                </c15:cat>
              </c15:filteredCategoryTitle>
            </c:ext>
            <c:ext xmlns:c16="http://schemas.microsoft.com/office/drawing/2014/chart" uri="{C3380CC4-5D6E-409C-BE32-E72D297353CC}">
              <c16:uniqueId val="{00000000-899E-426D-9D26-660EAA7B9952}"/>
            </c:ext>
          </c:extLst>
        </c:ser>
        <c:dLbls>
          <c:showLegendKey val="0"/>
          <c:showVal val="0"/>
          <c:showCatName val="0"/>
          <c:showSerName val="0"/>
          <c:showPercent val="0"/>
          <c:showBubbleSize val="0"/>
        </c:dLbls>
        <c:gapWidth val="219"/>
        <c:overlap val="-27"/>
        <c:axId val="1245804847"/>
        <c:axId val="1245789871"/>
      </c:barChart>
      <c:catAx>
        <c:axId val="12458048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45789871"/>
        <c:crosses val="autoZero"/>
        <c:auto val="1"/>
        <c:lblAlgn val="ctr"/>
        <c:lblOffset val="100"/>
        <c:noMultiLvlLbl val="0"/>
      </c:catAx>
      <c:valAx>
        <c:axId val="12457898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BE"/>
                  <a:t>Estimation réductions (tCO2e)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458048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Alimentation durable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v>Alimentation Durable</c:v>
          </c:tx>
          <c:spPr>
            <a:solidFill>
              <a:srgbClr val="019CD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BarType val="both"/>
            <c:errValType val="cust"/>
            <c:noEndCap val="1"/>
            <c:plus>
              <c:numRef>
                <c:f>('Plan Climat_Admin_2030'!#REF!,'Plan Climat_Admin_2030'!#REF!,'Plan Climat_Admin_2030'!#REF!,'Plan Climat_Admin_2030'!#REF!,'Plan Climat_Admin_2030'!#REF!,'Plan Climat_Admin_2030'!#REF!,'Plan Climat_Admin_2030'!#REF!)</c:f>
                <c:numCache>
                  <c:formatCode>General</c:formatCode>
                  <c:ptCount val="1"/>
                  <c:pt idx="0">
                    <c:v>1</c:v>
                  </c:pt>
                </c:numCache>
              </c:numRef>
            </c:plus>
            <c:minus>
              <c:numRef>
                <c:f>('Plan Climat_Admin_2030'!#REF!,'Plan Climat_Admin_2030'!#REF!,'Plan Climat_Admin_2030'!#REF!,'Plan Climat_Admin_2030'!#REF!,'Plan Climat_Admin_2030'!#REF!,'Plan Climat_Admin_2030'!#REF!,'Plan Climat_Admin_2030'!#REF!)</c:f>
                <c:numCache>
                  <c:formatCode>General</c:formatCode>
                  <c:ptCount val="1"/>
                  <c:pt idx="0">
                    <c:v>1</c:v>
                  </c:pt>
                </c:numCache>
              </c:numRef>
            </c:minus>
            <c:spPr>
              <a:noFill/>
              <a:ln w="12700" cap="flat" cmpd="sng" algn="ctr">
                <a:solidFill>
                  <a:srgbClr val="89C7EB"/>
                </a:solidFill>
                <a:round/>
              </a:ln>
              <a:effectLst/>
            </c:spPr>
          </c:errBars>
          <c:val>
            <c:numRef>
              <c:f>('Plan Climat_Admin_2030'!#REF!,'Plan Climat_Admin_2030'!#REF!,'Plan Climat_Admin_2030'!#REF!,'Plan Climat_Admin_2030'!#REF!,'Plan Climat_Admin_2030'!#REF!,'Plan Climat_Admin_2030'!#REF!,'Plan Climat_Admin_2030'!#REF!)</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('Plan Climat_Admin_2030'!#REF!,'Plan Climat_Admin_2030'!#REF!,'Plan Climat_Admin_2030'!#REF!,'Plan Climat_Admin_2030'!#REF!,'Plan Climat_Admin_2030'!#REF!,'Plan Climat_Admin_2030'!#REF!,'Plan Climat_Admin_2030'!#REF!)</c15:sqref>
                        </c15:formulaRef>
                      </c:ext>
                    </c:extLst>
                  </c:strRef>
                </c15:cat>
              </c15:filteredCategoryTitle>
            </c:ext>
            <c:ext xmlns:c16="http://schemas.microsoft.com/office/drawing/2014/chart" uri="{C3380CC4-5D6E-409C-BE32-E72D297353CC}">
              <c16:uniqueId val="{00000000-DA45-4DF8-B9A2-CE6D8FA924D2}"/>
            </c:ext>
          </c:extLst>
        </c:ser>
        <c:dLbls>
          <c:showLegendKey val="0"/>
          <c:showVal val="0"/>
          <c:showCatName val="0"/>
          <c:showSerName val="0"/>
          <c:showPercent val="0"/>
          <c:showBubbleSize val="0"/>
        </c:dLbls>
        <c:gapWidth val="219"/>
        <c:overlap val="-27"/>
        <c:axId val="1245804847"/>
        <c:axId val="1245789871"/>
      </c:barChart>
      <c:catAx>
        <c:axId val="12458048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45789871"/>
        <c:crosses val="autoZero"/>
        <c:auto val="1"/>
        <c:lblAlgn val="ctr"/>
        <c:lblOffset val="100"/>
        <c:noMultiLvlLbl val="0"/>
      </c:catAx>
      <c:valAx>
        <c:axId val="12457898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BE"/>
                  <a:t>Estimation réductions (tCO2e)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458048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Achats durables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v>Achats Durable</c:v>
          </c:tx>
          <c:spPr>
            <a:solidFill>
              <a:srgbClr val="019CD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BarType val="both"/>
            <c:errValType val="cust"/>
            <c:noEndCap val="1"/>
            <c:plus>
              <c:numRef>
                <c:f>('Plan Climat_Admin_2030'!#REF!,'Plan Climat_Admin_2030'!#REF!,'Plan Climat_Admin_2030'!#REF!,'Plan Climat_Admin_2030'!#REF!,'Plan Climat_Admin_2030'!#REF!,'Plan Climat_Admin_2030'!#REF!)</c:f>
                <c:numCache>
                  <c:formatCode>General</c:formatCode>
                  <c:ptCount val="1"/>
                  <c:pt idx="0">
                    <c:v>1</c:v>
                  </c:pt>
                </c:numCache>
              </c:numRef>
            </c:plus>
            <c:minus>
              <c:numRef>
                <c:f>('Plan Climat_Admin_2030'!#REF!,'Plan Climat_Admin_2030'!#REF!,'Plan Climat_Admin_2030'!#REF!,'Plan Climat_Admin_2030'!#REF!,'Plan Climat_Admin_2030'!#REF!,'Plan Climat_Admin_2030'!#REF!)</c:f>
                <c:numCache>
                  <c:formatCode>General</c:formatCode>
                  <c:ptCount val="1"/>
                  <c:pt idx="0">
                    <c:v>1</c:v>
                  </c:pt>
                </c:numCache>
              </c:numRef>
            </c:minus>
            <c:spPr>
              <a:noFill/>
              <a:ln w="12700" cap="flat" cmpd="sng" algn="ctr">
                <a:solidFill>
                  <a:srgbClr val="89C7EB"/>
                </a:solidFill>
                <a:round/>
              </a:ln>
              <a:effectLst/>
            </c:spPr>
          </c:errBars>
          <c:val>
            <c:numRef>
              <c:f>('Plan Climat_Admin_2030'!#REF!,'Plan Climat_Admin_2030'!#REF!,'Plan Climat_Admin_2030'!#REF!,'Plan Climat_Admin_2030'!#REF!,'Plan Climat_Admin_2030'!#REF!,'Plan Climat_Admin_2030'!#REF!)</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('Plan Climat_Admin_2030'!#REF!,'Plan Climat_Admin_2030'!#REF!,'Plan Climat_Admin_2030'!#REF!,'Plan Climat_Admin_2030'!#REF!,'Plan Climat_Admin_2030'!#REF!,'Plan Climat_Admin_2030'!#REF!)</c15:sqref>
                        </c15:formulaRef>
                      </c:ext>
                    </c:extLst>
                  </c:strRef>
                </c15:cat>
              </c15:filteredCategoryTitle>
            </c:ext>
            <c:ext xmlns:c16="http://schemas.microsoft.com/office/drawing/2014/chart" uri="{C3380CC4-5D6E-409C-BE32-E72D297353CC}">
              <c16:uniqueId val="{00000000-C02C-4A48-9595-63805245C894}"/>
            </c:ext>
          </c:extLst>
        </c:ser>
        <c:dLbls>
          <c:showLegendKey val="0"/>
          <c:showVal val="0"/>
          <c:showCatName val="0"/>
          <c:showSerName val="0"/>
          <c:showPercent val="0"/>
          <c:showBubbleSize val="0"/>
        </c:dLbls>
        <c:gapWidth val="219"/>
        <c:overlap val="-27"/>
        <c:axId val="1245804847"/>
        <c:axId val="1245789871"/>
      </c:barChart>
      <c:catAx>
        <c:axId val="12458048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45789871"/>
        <c:crosses val="autoZero"/>
        <c:auto val="1"/>
        <c:lblAlgn val="ctr"/>
        <c:lblOffset val="100"/>
        <c:noMultiLvlLbl val="0"/>
      </c:catAx>
      <c:valAx>
        <c:axId val="12457898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BE"/>
                  <a:t>Estimation réductions (tCO2e)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458048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Déchets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v>Déchets</c:v>
          </c:tx>
          <c:spPr>
            <a:solidFill>
              <a:srgbClr val="019CD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BarType val="both"/>
            <c:errValType val="cust"/>
            <c:noEndCap val="1"/>
            <c:plus>
              <c:numRef>
                <c:f>('Plan Climat_Admin_2030'!#REF!,'Plan Climat_Admin_2030'!#REF!,'Plan Climat_Admin_2030'!#REF!,'Plan Climat_Admin_2030'!#REF!,'Plan Climat_Admin_2030'!#REF!,'Plan Climat_Admin_2030'!#REF!,'Plan Climat_Admin_2030'!#REF!,'Plan Climat_Admin_2030'!#REF!,'Plan Climat_Admin_2030'!#REF!,'Plan Climat_Admin_2030'!#REF!,'Plan Climat_Admin_2030'!#REF!,'Plan Climat_Admin_2030'!#REF!)</c:f>
                <c:numCache>
                  <c:formatCode>General</c:formatCode>
                  <c:ptCount val="1"/>
                  <c:pt idx="0">
                    <c:v>1</c:v>
                  </c:pt>
                </c:numCache>
              </c:numRef>
            </c:plus>
            <c:minus>
              <c:numRef>
                <c:f>('Plan Climat_Admin_2030'!#REF!,'Plan Climat_Admin_2030'!#REF!,'Plan Climat_Admin_2030'!#REF!,'Plan Climat_Admin_2030'!#REF!,'Plan Climat_Admin_2030'!#REF!,'Plan Climat_Admin_2030'!#REF!,'Plan Climat_Admin_2030'!#REF!,'Plan Climat_Admin_2030'!#REF!,'Plan Climat_Admin_2030'!#REF!,'Plan Climat_Admin_2030'!#REF!,'Plan Climat_Admin_2030'!#REF!,'Plan Climat_Admin_2030'!#REF!)</c:f>
                <c:numCache>
                  <c:formatCode>General</c:formatCode>
                  <c:ptCount val="1"/>
                  <c:pt idx="0">
                    <c:v>1</c:v>
                  </c:pt>
                </c:numCache>
              </c:numRef>
            </c:minus>
            <c:spPr>
              <a:noFill/>
              <a:ln w="12700" cap="flat" cmpd="sng" algn="ctr">
                <a:solidFill>
                  <a:srgbClr val="89C7EB"/>
                </a:solidFill>
                <a:round/>
              </a:ln>
              <a:effectLst/>
            </c:spPr>
          </c:errBars>
          <c:val>
            <c:numRef>
              <c:f>('Plan Climat_Admin_2030'!#REF!,'Plan Climat_Admin_2030'!#REF!,'Plan Climat_Admin_2030'!#REF!,'Plan Climat_Admin_2030'!#REF!,'Plan Climat_Admin_2030'!#REF!,'Plan Climat_Admin_2030'!#REF!,'Plan Climat_Admin_2030'!#REF!,'Plan Climat_Admin_2030'!#REF!,'Plan Climat_Admin_2030'!#REF!,'Plan Climat_Admin_2030'!#REF!,'Plan Climat_Admin_2030'!#REF!,'Plan Climat_Admin_2030'!#REF!)</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('Plan Climat_Admin_2030'!#REF!,'Plan Climat_Admin_2030'!#REF!,'Plan Climat_Admin_2030'!#REF!,'Plan Climat_Admin_2030'!#REF!,'Plan Climat_Admin_2030'!#REF!,'Plan Climat_Admin_2030'!#REF!,'Plan Climat_Admin_2030'!#REF!,'Plan Climat_Admin_2030'!#REF!,'Plan Climat_Admin_2030'!#REF!,'Plan Climat_Admin_2030'!#REF!,'Plan Climat_Admin_2030'!#REF!,'Plan Climat_Admin_2030'!#REF!)</c15:sqref>
                        </c15:formulaRef>
                      </c:ext>
                    </c:extLst>
                  </c:strRef>
                </c15:cat>
              </c15:filteredCategoryTitle>
            </c:ext>
            <c:ext xmlns:c16="http://schemas.microsoft.com/office/drawing/2014/chart" uri="{C3380CC4-5D6E-409C-BE32-E72D297353CC}">
              <c16:uniqueId val="{00000000-D209-43B2-AE0F-A2D0F294BC31}"/>
            </c:ext>
          </c:extLst>
        </c:ser>
        <c:dLbls>
          <c:showLegendKey val="0"/>
          <c:showVal val="0"/>
          <c:showCatName val="0"/>
          <c:showSerName val="0"/>
          <c:showPercent val="0"/>
          <c:showBubbleSize val="0"/>
        </c:dLbls>
        <c:gapWidth val="219"/>
        <c:overlap val="-27"/>
        <c:axId val="1245804847"/>
        <c:axId val="1245789871"/>
      </c:barChart>
      <c:catAx>
        <c:axId val="12458048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45789871"/>
        <c:crosses val="autoZero"/>
        <c:auto val="1"/>
        <c:lblAlgn val="ctr"/>
        <c:lblOffset val="100"/>
        <c:noMultiLvlLbl val="0"/>
      </c:catAx>
      <c:valAx>
        <c:axId val="12457898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BE"/>
                  <a:t>Estimation réductions (tCO2e)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458048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_xlchart.v1.6</cx:f>
      </cx:strDim>
      <cx:numDim type="val">
        <cx:f>_xlchart.v1.7</cx:f>
      </cx:numDim>
    </cx:data>
  </cx:chartData>
  <cx:chart>
    <cx:plotArea>
      <cx:plotAreaRegion>
        <cx:series layoutId="waterfall" uniqueId="{D0DDC132-F75F-4773-A9C9-A4DE8DC3FD28}" formatIdx="0">
          <cx:dataLabels pos="outEnd">
            <cx:visibility seriesName="0" categoryName="0" value="1"/>
          </cx:dataLabels>
          <cx:dataId val="0"/>
          <cx:layoutPr>
            <cx:subtotals>
              <cx:idx val="12"/>
            </cx:subtotals>
          </cx:layoutPr>
        </cx:series>
      </cx:plotAreaRegion>
      <cx:axis id="0">
        <cx:catScaling gapWidth="0.5"/>
        <cx:tickLabels/>
      </cx:axis>
      <cx:axis id="1">
        <cx:valScaling/>
        <cx:title>
          <cx:tx>
            <cx:txData>
              <cx:v>Emissions (tCO2e)</cx:v>
            </cx:txData>
          </cx:tx>
          <cx:txPr>
            <a:bodyPr spcFirstLastPara="1" vertOverflow="ellipsis" horzOverflow="overflow" wrap="square" lIns="0" tIns="0" rIns="0" bIns="0" anchor="ctr" anchorCtr="1"/>
            <a:lstStyle/>
            <a:p>
              <a:pPr algn="ctr" rtl="0">
                <a:defRPr/>
              </a:pPr>
              <a:r>
                <a:rPr lang="en-US" sz="900" b="0" i="0" u="none" strike="noStrike" baseline="0">
                  <a:solidFill>
                    <a:sysClr val="windowText" lastClr="000000">
                      <a:lumMod val="65000"/>
                      <a:lumOff val="35000"/>
                    </a:sysClr>
                  </a:solidFill>
                  <a:latin typeface="Calibri" panose="020F0502020204030204"/>
                </a:rPr>
                <a:t>Emissions (tCO2e)</a:t>
              </a:r>
            </a:p>
          </cx:txPr>
        </cx:title>
        <cx:majorGridlines/>
        <cx:tickLabels/>
      </cx:axis>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_xlchart.v1.2</cx:f>
      </cx:strDim>
      <cx:numDim type="val">
        <cx:f>_xlchart.v1.3</cx:f>
      </cx:numDim>
    </cx:data>
  </cx:chartData>
  <cx:chart>
    <cx:plotArea>
      <cx:plotAreaRegion>
        <cx:series layoutId="waterfall" uniqueId="{D0DDC132-F75F-4773-A9C9-A4DE8DC3FD28}" formatIdx="0">
          <cx:dataLabels pos="outEnd">
            <cx:visibility seriesName="0" categoryName="0" value="1"/>
          </cx:dataLabels>
          <cx:dataId val="0"/>
          <cx:layoutPr>
            <cx:subtotals>
              <cx:idx val="9"/>
              <cx:idx val="12"/>
            </cx:subtotals>
          </cx:layoutPr>
        </cx:series>
      </cx:plotAreaRegion>
      <cx:axis id="0">
        <cx:catScaling gapWidth="0.5"/>
        <cx:tickLabels/>
      </cx:axis>
      <cx:axis id="1">
        <cx:valScaling/>
        <cx:title>
          <cx:tx>
            <cx:txData>
              <cx:v>Emissions (tCO2e)</cx:v>
            </cx:txData>
          </cx:tx>
          <cx:txPr>
            <a:bodyPr spcFirstLastPara="1" vertOverflow="ellipsis" horzOverflow="overflow" wrap="square" lIns="0" tIns="0" rIns="0" bIns="0" anchor="ctr" anchorCtr="1"/>
            <a:lstStyle/>
            <a:p>
              <a:pPr algn="ctr" rtl="0">
                <a:defRPr/>
              </a:pPr>
              <a:r>
                <a:rPr lang="en-US" sz="900" b="0" i="0" u="none" strike="noStrike" baseline="0">
                  <a:solidFill>
                    <a:sysClr val="windowText" lastClr="000000">
                      <a:lumMod val="65000"/>
                      <a:lumOff val="35000"/>
                    </a:sysClr>
                  </a:solidFill>
                  <a:latin typeface="Calibri" panose="020F0502020204030204"/>
                </a:rPr>
                <a:t>Emissions (tCO2e)</a:t>
              </a:r>
            </a:p>
          </cx:txPr>
        </cx:title>
        <cx:majorGridlines/>
        <cx:tickLabels/>
      </cx:axis>
    </cx:plotArea>
  </cx:chart>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_xlchart.v1.4</cx:f>
      </cx:strDim>
      <cx:numDim type="val">
        <cx:f>_xlchart.v1.5</cx:f>
      </cx:numDim>
    </cx:data>
  </cx:chartData>
  <cx:chart>
    <cx:plotArea>
      <cx:plotAreaRegion>
        <cx:series layoutId="waterfall" uniqueId="{D0DDC132-F75F-4773-A9C9-A4DE8DC3FD28}" formatIdx="0">
          <cx:dataLabels pos="outEnd">
            <cx:visibility seriesName="0" categoryName="0" value="1"/>
          </cx:dataLabels>
          <cx:dataId val="0"/>
          <cx:layoutPr>
            <cx:subtotals>
              <cx:idx val="8"/>
              <cx:idx val="12"/>
              <cx:idx val="15"/>
            </cx:subtotals>
          </cx:layoutPr>
        </cx:series>
      </cx:plotAreaRegion>
      <cx:axis id="0">
        <cx:catScaling gapWidth="0.5"/>
        <cx:tickLabels/>
      </cx:axis>
      <cx:axis id="1">
        <cx:valScaling/>
        <cx:title>
          <cx:tx>
            <cx:txData>
              <cx:v>Emissions (tCO2e)</cx:v>
            </cx:txData>
          </cx:tx>
          <cx:txPr>
            <a:bodyPr spcFirstLastPara="1" vertOverflow="ellipsis" horzOverflow="overflow" wrap="square" lIns="0" tIns="0" rIns="0" bIns="0" anchor="ctr" anchorCtr="1"/>
            <a:lstStyle/>
            <a:p>
              <a:pPr algn="ctr" rtl="0">
                <a:defRPr/>
              </a:pPr>
              <a:r>
                <a:rPr lang="en-US" sz="900" b="0" i="0" u="none" strike="noStrike" baseline="0">
                  <a:solidFill>
                    <a:sysClr val="windowText" lastClr="000000">
                      <a:lumMod val="65000"/>
                      <a:lumOff val="35000"/>
                    </a:sysClr>
                  </a:solidFill>
                  <a:latin typeface="Calibri" panose="020F0502020204030204"/>
                </a:rPr>
                <a:t>Emissions (tCO2e)</a:t>
              </a:r>
            </a:p>
          </cx:txPr>
        </cx:title>
        <cx:majorGridlines/>
        <cx:tickLabels/>
      </cx:axis>
    </cx:plotArea>
  </cx:chart>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plotArea>
      <cx:plotAreaRegion>
        <cx:series layoutId="waterfall" uniqueId="{D0DDC132-F75F-4773-A9C9-A4DE8DC3FD28}" formatIdx="0">
          <cx:dataLabels pos="outEnd">
            <cx:visibility seriesName="0" categoryName="0" value="1"/>
          </cx:dataLabels>
          <cx:dataId val="0"/>
          <cx:layoutPr>
            <cx:subtotals>
              <cx:idx val="7"/>
              <cx:idx val="8"/>
              <cx:idx val="12"/>
              <cx:idx val="15"/>
            </cx:subtotals>
          </cx:layoutPr>
        </cx:series>
      </cx:plotAreaRegion>
      <cx:axis id="0">
        <cx:catScaling gapWidth="0.5"/>
        <cx:tickLabels/>
      </cx:axis>
      <cx:axis id="1">
        <cx:valScaling/>
        <cx:title>
          <cx:tx>
            <cx:txData>
              <cx:v>Emissions (tCO2e)</cx:v>
            </cx:txData>
          </cx:tx>
          <cx:txPr>
            <a:bodyPr spcFirstLastPara="1" vertOverflow="ellipsis" horzOverflow="overflow" wrap="square" lIns="0" tIns="0" rIns="0" bIns="0" anchor="ctr" anchorCtr="1"/>
            <a:lstStyle/>
            <a:p>
              <a:pPr algn="ctr" rtl="0">
                <a:defRPr/>
              </a:pPr>
              <a:r>
                <a:rPr lang="en-US" sz="900" b="0" i="0" u="none" strike="noStrike" baseline="0">
                  <a:solidFill>
                    <a:sysClr val="windowText" lastClr="000000">
                      <a:lumMod val="65000"/>
                      <a:lumOff val="35000"/>
                    </a:sysClr>
                  </a:solidFill>
                  <a:latin typeface="Calibri" panose="020F0502020204030204"/>
                </a:rPr>
                <a:t>Emissions (tCO2e)</a:t>
              </a:r>
            </a:p>
          </cx:txPr>
        </cx:title>
        <cx:majorGridlines/>
        <cx:tickLabels/>
      </cx:axis>
    </cx:plotArea>
  </cx:chart>
</cx:chartSpace>
</file>

<file path=xl/charts/chartEx5.xml><?xml version="1.0" encoding="utf-8"?>
<cx:chartSpace xmlns:a="http://schemas.openxmlformats.org/drawingml/2006/main" xmlns:r="http://schemas.openxmlformats.org/officeDocument/2006/relationships" xmlns:cx="http://schemas.microsoft.com/office/drawing/2014/chartex">
  <cx:chartData>
    <cx:data id="0">
      <cx:strDim type="cat">
        <cx:f>_xlchart.v1.8</cx:f>
      </cx:strDim>
      <cx:numDim type="val">
        <cx:f>_xlchart.v1.9</cx:f>
      </cx:numDim>
    </cx:data>
  </cx:chartData>
  <cx:chart>
    <cx:plotArea>
      <cx:plotAreaRegion>
        <cx:series layoutId="waterfall" uniqueId="{D0DDC132-F75F-4773-A9C9-A4DE8DC3FD28}" formatIdx="0">
          <cx:dataLabels pos="outEnd">
            <cx:visibility seriesName="0" categoryName="0" value="1"/>
          </cx:dataLabels>
          <cx:dataId val="0"/>
          <cx:layoutPr>
            <cx:subtotals>
              <cx:idx val="13"/>
              <cx:idx val="15"/>
            </cx:subtotals>
          </cx:layoutPr>
        </cx:series>
      </cx:plotAreaRegion>
      <cx:axis id="0">
        <cx:catScaling gapWidth="0.5"/>
        <cx:tickLabels/>
      </cx:axis>
      <cx:axis id="1">
        <cx:valScaling/>
        <cx:title>
          <cx:tx>
            <cx:txData>
              <cx:v>Emissions (tCO2e)</cx:v>
            </cx:txData>
          </cx:tx>
          <cx:txPr>
            <a:bodyPr spcFirstLastPara="1" vertOverflow="ellipsis" horzOverflow="overflow" wrap="square" lIns="0" tIns="0" rIns="0" bIns="0" anchor="ctr" anchorCtr="1"/>
            <a:lstStyle/>
            <a:p>
              <a:pPr algn="ctr" rtl="0">
                <a:defRPr/>
              </a:pPr>
              <a:r>
                <a:rPr lang="en-US" sz="900" b="0" i="0" u="none" strike="noStrike" baseline="0">
                  <a:solidFill>
                    <a:sysClr val="windowText" lastClr="000000">
                      <a:lumMod val="65000"/>
                      <a:lumOff val="35000"/>
                    </a:sysClr>
                  </a:solidFill>
                  <a:latin typeface="Calibri" panose="020F0502020204030204"/>
                </a:rPr>
                <a:t>Emissions (tCO2e)</a:t>
              </a:r>
            </a:p>
          </cx:txPr>
        </cx:title>
        <cx:majorGridlines/>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microsoft.com/office/2014/relationships/chartEx" Target="../charts/chartEx4.xml"/><Relationship Id="rId3" Type="http://schemas.openxmlformats.org/officeDocument/2006/relationships/chart" Target="../charts/chart3.xml"/><Relationship Id="rId7" Type="http://schemas.openxmlformats.org/officeDocument/2006/relationships/chart" Target="../charts/chart5.xml"/><Relationship Id="rId2" Type="http://schemas.microsoft.com/office/2014/relationships/chartEx" Target="../charts/chartEx1.xml"/><Relationship Id="rId1" Type="http://schemas.openxmlformats.org/officeDocument/2006/relationships/chart" Target="../charts/chart2.xml"/><Relationship Id="rId6" Type="http://schemas.microsoft.com/office/2014/relationships/chartEx" Target="../charts/chartEx3.xml"/><Relationship Id="rId5" Type="http://schemas.openxmlformats.org/officeDocument/2006/relationships/chart" Target="../charts/chart4.xml"/><Relationship Id="rId10" Type="http://schemas.microsoft.com/office/2014/relationships/chartEx" Target="../charts/chartEx5.xml"/><Relationship Id="rId4" Type="http://schemas.microsoft.com/office/2014/relationships/chartEx" Target="../charts/chartEx2.xml"/><Relationship Id="rId9"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40</xdr:col>
      <xdr:colOff>435021</xdr:colOff>
      <xdr:row>38</xdr:row>
      <xdr:rowOff>0</xdr:rowOff>
    </xdr:from>
    <xdr:to>
      <xdr:col>55</xdr:col>
      <xdr:colOff>56582</xdr:colOff>
      <xdr:row>148</xdr:row>
      <xdr:rowOff>125274</xdr:rowOff>
    </xdr:to>
    <xdr:graphicFrame macro="">
      <xdr:nvGraphicFramePr>
        <xdr:cNvPr id="2" name="Chart 1">
          <a:extLst>
            <a:ext uri="{FF2B5EF4-FFF2-40B4-BE49-F238E27FC236}">
              <a16:creationId xmlns:a16="http://schemas.microsoft.com/office/drawing/2014/main" id="{D10886C1-0EA6-4187-A1B2-B0E7F042CD4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419100</xdr:colOff>
      <xdr:row>4</xdr:row>
      <xdr:rowOff>242148</xdr:rowOff>
    </xdr:from>
    <xdr:to>
      <xdr:col>2</xdr:col>
      <xdr:colOff>749300</xdr:colOff>
      <xdr:row>7</xdr:row>
      <xdr:rowOff>12700</xdr:rowOff>
    </xdr:to>
    <xdr:sp macro="" textlink="">
      <xdr:nvSpPr>
        <xdr:cNvPr id="2" name="Rectangle : coins arrondis 1">
          <a:extLst>
            <a:ext uri="{FF2B5EF4-FFF2-40B4-BE49-F238E27FC236}">
              <a16:creationId xmlns:a16="http://schemas.microsoft.com/office/drawing/2014/main" id="{2CB33ACF-0814-0C5A-2450-3353233A5EE5}"/>
            </a:ext>
          </a:extLst>
        </xdr:cNvPr>
        <xdr:cNvSpPr/>
      </xdr:nvSpPr>
      <xdr:spPr>
        <a:xfrm>
          <a:off x="419100" y="2324948"/>
          <a:ext cx="3111500" cy="875452"/>
        </a:xfrm>
        <a:prstGeom prst="round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lang="fr-BE" sz="800" baseline="0"/>
        </a:p>
        <a:p>
          <a:pPr algn="l"/>
          <a:r>
            <a:rPr lang="fr-BE" sz="1000" b="1" baseline="0"/>
            <a:t>Code couleur</a:t>
          </a:r>
        </a:p>
        <a:p>
          <a:pPr algn="l"/>
          <a:r>
            <a:rPr lang="fr-BE" sz="1000" baseline="0"/>
            <a:t>- Orange = action  PST</a:t>
          </a:r>
        </a:p>
        <a:p>
          <a:pPr algn="l"/>
          <a:r>
            <a:rPr lang="fr-BE" sz="1000" baseline="0"/>
            <a:t>- Mauve =  action qui comporte des sous-actions</a:t>
          </a:r>
        </a:p>
        <a:p>
          <a:pPr algn="l"/>
          <a:endParaRPr lang="fr-BE" sz="1000" baseline="0"/>
        </a:p>
        <a:p>
          <a:pPr algn="l"/>
          <a:endParaRPr lang="fr-BE" sz="8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76199</xdr:colOff>
      <xdr:row>3</xdr:row>
      <xdr:rowOff>25401</xdr:rowOff>
    </xdr:from>
    <xdr:to>
      <xdr:col>10</xdr:col>
      <xdr:colOff>557399</xdr:colOff>
      <xdr:row>22</xdr:row>
      <xdr:rowOff>86334</xdr:rowOff>
    </xdr:to>
    <xdr:graphicFrame macro="">
      <xdr:nvGraphicFramePr>
        <xdr:cNvPr id="2" name="Chart 1">
          <a:extLst>
            <a:ext uri="{FF2B5EF4-FFF2-40B4-BE49-F238E27FC236}">
              <a16:creationId xmlns:a16="http://schemas.microsoft.com/office/drawing/2014/main" id="{CCA1AFFE-6629-ED27-4231-C4E6EA92C10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1693</xdr:colOff>
      <xdr:row>24</xdr:row>
      <xdr:rowOff>162560</xdr:rowOff>
    </xdr:from>
    <xdr:to>
      <xdr:col>21</xdr:col>
      <xdr:colOff>25693</xdr:colOff>
      <xdr:row>44</xdr:row>
      <xdr:rowOff>11827</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A801FA6F-803D-C5C8-FC8C-A1DAD1C1D1DF}"/>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6867313" y="4582160"/>
              <a:ext cx="6120000" cy="3537347"/>
            </a:xfrm>
            <a:prstGeom prst="rect">
              <a:avLst/>
            </a:prstGeom>
            <a:solidFill>
              <a:prstClr val="white"/>
            </a:solidFill>
            <a:ln w="1">
              <a:solidFill>
                <a:prstClr val="green"/>
              </a:solidFill>
            </a:ln>
          </xdr:spPr>
          <xdr:txBody>
            <a:bodyPr vertOverflow="clip" horzOverflow="clip"/>
            <a:lstStyle/>
            <a:p>
              <a:r>
                <a:rPr lang="fr-BE" sz="1100"/>
                <a:t>Ce graphique n’est pas disponible dans votre version d’Excel.
La modification de cette forme ou l’enregistrement de ce classeur dans un autre format de fichier endommagera le graphique de façon irréparable.</a:t>
              </a:r>
            </a:p>
          </xdr:txBody>
        </xdr:sp>
      </mc:Fallback>
    </mc:AlternateContent>
    <xdr:clientData/>
  </xdr:twoCellAnchor>
  <xdr:twoCellAnchor>
    <xdr:from>
      <xdr:col>11</xdr:col>
      <xdr:colOff>50800</xdr:colOff>
      <xdr:row>3</xdr:row>
      <xdr:rowOff>33866</xdr:rowOff>
    </xdr:from>
    <xdr:to>
      <xdr:col>21</xdr:col>
      <xdr:colOff>74800</xdr:colOff>
      <xdr:row>22</xdr:row>
      <xdr:rowOff>94799</xdr:rowOff>
    </xdr:to>
    <xdr:graphicFrame macro="">
      <xdr:nvGraphicFramePr>
        <xdr:cNvPr id="4" name="Chart 3">
          <a:extLst>
            <a:ext uri="{FF2B5EF4-FFF2-40B4-BE49-F238E27FC236}">
              <a16:creationId xmlns:a16="http://schemas.microsoft.com/office/drawing/2014/main" id="{3EDD617B-E524-4909-97E9-ED4D8ADEBA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37254</xdr:colOff>
      <xdr:row>44</xdr:row>
      <xdr:rowOff>133774</xdr:rowOff>
    </xdr:from>
    <xdr:to>
      <xdr:col>21</xdr:col>
      <xdr:colOff>61254</xdr:colOff>
      <xdr:row>64</xdr:row>
      <xdr:rowOff>8440</xdr:rowOff>
    </xdr:to>
    <mc:AlternateContent xmlns:mc="http://schemas.openxmlformats.org/markup-compatibility/2006">
      <mc:Choice xmlns:cx1="http://schemas.microsoft.com/office/drawing/2015/9/8/chartex" Requires="cx1">
        <xdr:graphicFrame macro="">
          <xdr:nvGraphicFramePr>
            <xdr:cNvPr id="5" name="Chart 4">
              <a:extLst>
                <a:ext uri="{FF2B5EF4-FFF2-40B4-BE49-F238E27FC236}">
                  <a16:creationId xmlns:a16="http://schemas.microsoft.com/office/drawing/2014/main" id="{8EEC7F28-BF78-46B8-8E98-973304A38A67}"/>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6902874" y="8241454"/>
              <a:ext cx="6120000" cy="3532266"/>
            </a:xfrm>
            <a:prstGeom prst="rect">
              <a:avLst/>
            </a:prstGeom>
            <a:solidFill>
              <a:prstClr val="white"/>
            </a:solidFill>
            <a:ln w="1">
              <a:solidFill>
                <a:prstClr val="green"/>
              </a:solidFill>
            </a:ln>
          </xdr:spPr>
          <xdr:txBody>
            <a:bodyPr vertOverflow="clip" horzOverflow="clip"/>
            <a:lstStyle/>
            <a:p>
              <a:r>
                <a:rPr lang="fr-BE" sz="1100"/>
                <a:t>Ce graphique n’est pas disponible dans votre version d’Excel.
La modification de cette forme ou l’enregistrement de ce classeur dans un autre format de fichier endommagera le graphique de façon irréparable.</a:t>
              </a:r>
            </a:p>
          </xdr:txBody>
        </xdr:sp>
      </mc:Fallback>
    </mc:AlternateContent>
    <xdr:clientData/>
  </xdr:twoCellAnchor>
  <xdr:twoCellAnchor>
    <xdr:from>
      <xdr:col>21</xdr:col>
      <xdr:colOff>203200</xdr:colOff>
      <xdr:row>3</xdr:row>
      <xdr:rowOff>33867</xdr:rowOff>
    </xdr:from>
    <xdr:to>
      <xdr:col>31</xdr:col>
      <xdr:colOff>227200</xdr:colOff>
      <xdr:row>22</xdr:row>
      <xdr:rowOff>94800</xdr:rowOff>
    </xdr:to>
    <xdr:graphicFrame macro="">
      <xdr:nvGraphicFramePr>
        <xdr:cNvPr id="6" name="Chart 5">
          <a:extLst>
            <a:ext uri="{FF2B5EF4-FFF2-40B4-BE49-F238E27FC236}">
              <a16:creationId xmlns:a16="http://schemas.microsoft.com/office/drawing/2014/main" id="{51F8BB4F-A535-4B4D-BA0D-CD8301D999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12701</xdr:colOff>
      <xdr:row>65</xdr:row>
      <xdr:rowOff>2117</xdr:rowOff>
    </xdr:from>
    <xdr:to>
      <xdr:col>21</xdr:col>
      <xdr:colOff>36701</xdr:colOff>
      <xdr:row>84</xdr:row>
      <xdr:rowOff>63050</xdr:rowOff>
    </xdr:to>
    <mc:AlternateContent xmlns:mc="http://schemas.openxmlformats.org/markup-compatibility/2006">
      <mc:Choice xmlns:cx1="http://schemas.microsoft.com/office/drawing/2015/9/8/chartex" Requires="cx1">
        <xdr:graphicFrame macro="">
          <xdr:nvGraphicFramePr>
            <xdr:cNvPr id="7" name="Chart 6">
              <a:extLst>
                <a:ext uri="{FF2B5EF4-FFF2-40B4-BE49-F238E27FC236}">
                  <a16:creationId xmlns:a16="http://schemas.microsoft.com/office/drawing/2014/main" id="{323F4FEA-F6A9-4461-B8D6-FE8B1E45B511}"/>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0" name=""/>
            <xdr:cNvSpPr>
              <a:spLocks noTextEdit="1"/>
            </xdr:cNvSpPr>
          </xdr:nvSpPr>
          <xdr:spPr>
            <a:xfrm>
              <a:off x="6878321" y="11950277"/>
              <a:ext cx="6120000" cy="3535653"/>
            </a:xfrm>
            <a:prstGeom prst="rect">
              <a:avLst/>
            </a:prstGeom>
            <a:solidFill>
              <a:prstClr val="white"/>
            </a:solidFill>
            <a:ln w="1">
              <a:solidFill>
                <a:prstClr val="green"/>
              </a:solidFill>
            </a:ln>
          </xdr:spPr>
          <xdr:txBody>
            <a:bodyPr vertOverflow="clip" horzOverflow="clip"/>
            <a:lstStyle/>
            <a:p>
              <a:r>
                <a:rPr lang="fr-BE" sz="1100"/>
                <a:t>Ce graphique n’est pas disponible dans votre version d’Excel.
La modification de cette forme ou l’enregistrement de ce classeur dans un autre format de fichier endommagera le graphique de façon irréparable.</a:t>
              </a:r>
            </a:p>
          </xdr:txBody>
        </xdr:sp>
      </mc:Fallback>
    </mc:AlternateContent>
    <xdr:clientData/>
  </xdr:twoCellAnchor>
  <xdr:twoCellAnchor>
    <xdr:from>
      <xdr:col>31</xdr:col>
      <xdr:colOff>354541</xdr:colOff>
      <xdr:row>3</xdr:row>
      <xdr:rowOff>33868</xdr:rowOff>
    </xdr:from>
    <xdr:to>
      <xdr:col>41</xdr:col>
      <xdr:colOff>378541</xdr:colOff>
      <xdr:row>22</xdr:row>
      <xdr:rowOff>94801</xdr:rowOff>
    </xdr:to>
    <xdr:graphicFrame macro="">
      <xdr:nvGraphicFramePr>
        <xdr:cNvPr id="8" name="Chart 7">
          <a:extLst>
            <a:ext uri="{FF2B5EF4-FFF2-40B4-BE49-F238E27FC236}">
              <a16:creationId xmlns:a16="http://schemas.microsoft.com/office/drawing/2014/main" id="{03626FF5-665E-4E16-A9D7-64DD9AF240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0</xdr:colOff>
      <xdr:row>85</xdr:row>
      <xdr:rowOff>84666</xdr:rowOff>
    </xdr:from>
    <xdr:to>
      <xdr:col>21</xdr:col>
      <xdr:colOff>24000</xdr:colOff>
      <xdr:row>104</xdr:row>
      <xdr:rowOff>145600</xdr:rowOff>
    </xdr:to>
    <mc:AlternateContent xmlns:mc="http://schemas.openxmlformats.org/markup-compatibility/2006">
      <mc:Choice xmlns:cx1="http://schemas.microsoft.com/office/drawing/2015/9/8/chartex" Requires="cx1">
        <xdr:graphicFrame macro="">
          <xdr:nvGraphicFramePr>
            <xdr:cNvPr id="9" name="Chart 8">
              <a:extLst>
                <a:ext uri="{FF2B5EF4-FFF2-40B4-BE49-F238E27FC236}">
                  <a16:creationId xmlns:a16="http://schemas.microsoft.com/office/drawing/2014/main" id="{D9D03328-2684-4750-B19F-FA020B74574B}"/>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8"/>
            </a:graphicData>
          </a:graphic>
        </xdr:graphicFrame>
      </mc:Choice>
      <mc:Fallback>
        <xdr:sp macro="" textlink="">
          <xdr:nvSpPr>
            <xdr:cNvPr id="0" name=""/>
            <xdr:cNvSpPr>
              <a:spLocks noTextEdit="1"/>
            </xdr:cNvSpPr>
          </xdr:nvSpPr>
          <xdr:spPr>
            <a:xfrm>
              <a:off x="6865620" y="15690426"/>
              <a:ext cx="6120000" cy="3535654"/>
            </a:xfrm>
            <a:prstGeom prst="rect">
              <a:avLst/>
            </a:prstGeom>
            <a:solidFill>
              <a:prstClr val="white"/>
            </a:solidFill>
            <a:ln w="1">
              <a:solidFill>
                <a:prstClr val="green"/>
              </a:solidFill>
            </a:ln>
          </xdr:spPr>
          <xdr:txBody>
            <a:bodyPr vertOverflow="clip" horzOverflow="clip"/>
            <a:lstStyle/>
            <a:p>
              <a:r>
                <a:rPr lang="fr-BE" sz="1100"/>
                <a:t>Ce graphique n’est pas disponible dans votre version d’Excel.
La modification de cette forme ou l’enregistrement de ce classeur dans un autre format de fichier endommagera le graphique de façon irréparable.</a:t>
              </a:r>
            </a:p>
          </xdr:txBody>
        </xdr:sp>
      </mc:Fallback>
    </mc:AlternateContent>
    <xdr:clientData/>
  </xdr:twoCellAnchor>
  <xdr:twoCellAnchor>
    <xdr:from>
      <xdr:col>41</xdr:col>
      <xdr:colOff>482600</xdr:colOff>
      <xdr:row>3</xdr:row>
      <xdr:rowOff>42334</xdr:rowOff>
    </xdr:from>
    <xdr:to>
      <xdr:col>51</xdr:col>
      <xdr:colOff>506600</xdr:colOff>
      <xdr:row>22</xdr:row>
      <xdr:rowOff>103267</xdr:rowOff>
    </xdr:to>
    <xdr:graphicFrame macro="">
      <xdr:nvGraphicFramePr>
        <xdr:cNvPr id="10" name="Chart 9">
          <a:extLst>
            <a:ext uri="{FF2B5EF4-FFF2-40B4-BE49-F238E27FC236}">
              <a16:creationId xmlns:a16="http://schemas.microsoft.com/office/drawing/2014/main" id="{6532448B-F9DB-41D9-BABB-ABACD7680E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0</xdr:colOff>
      <xdr:row>106</xdr:row>
      <xdr:rowOff>177800</xdr:rowOff>
    </xdr:from>
    <xdr:to>
      <xdr:col>21</xdr:col>
      <xdr:colOff>24000</xdr:colOff>
      <xdr:row>126</xdr:row>
      <xdr:rowOff>52467</xdr:rowOff>
    </xdr:to>
    <mc:AlternateContent xmlns:mc="http://schemas.openxmlformats.org/markup-compatibility/2006">
      <mc:Choice xmlns:cx1="http://schemas.microsoft.com/office/drawing/2015/9/8/chartex" Requires="cx1">
        <xdr:graphicFrame macro="">
          <xdr:nvGraphicFramePr>
            <xdr:cNvPr id="11" name="Chart 10">
              <a:extLst>
                <a:ext uri="{FF2B5EF4-FFF2-40B4-BE49-F238E27FC236}">
                  <a16:creationId xmlns:a16="http://schemas.microsoft.com/office/drawing/2014/main" id="{1D7EACF3-7BE0-4CFA-970D-3E1DADB6099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0"/>
            </a:graphicData>
          </a:graphic>
        </xdr:graphicFrame>
      </mc:Choice>
      <mc:Fallback>
        <xdr:sp macro="" textlink="">
          <xdr:nvSpPr>
            <xdr:cNvPr id="0" name=""/>
            <xdr:cNvSpPr>
              <a:spLocks noTextEdit="1"/>
            </xdr:cNvSpPr>
          </xdr:nvSpPr>
          <xdr:spPr>
            <a:xfrm>
              <a:off x="6865620" y="19624040"/>
              <a:ext cx="6120000" cy="3532267"/>
            </a:xfrm>
            <a:prstGeom prst="rect">
              <a:avLst/>
            </a:prstGeom>
            <a:solidFill>
              <a:prstClr val="white"/>
            </a:solidFill>
            <a:ln w="1">
              <a:solidFill>
                <a:prstClr val="green"/>
              </a:solidFill>
            </a:ln>
          </xdr:spPr>
          <xdr:txBody>
            <a:bodyPr vertOverflow="clip" horzOverflow="clip"/>
            <a:lstStyle/>
            <a:p>
              <a:r>
                <a:rPr lang="fr-BE" sz="1100"/>
                <a:t>Ce graphique n’est pas disponible dans votre version d’Excel.
La modification de cette forme ou l’enregistrement de ce classeur dans un autre format de fichier endommagera le graphique de façon irréparable.</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1072116</xdr:colOff>
      <xdr:row>5</xdr:row>
      <xdr:rowOff>53164</xdr:rowOff>
    </xdr:from>
    <xdr:to>
      <xdr:col>13</xdr:col>
      <xdr:colOff>310116</xdr:colOff>
      <xdr:row>15</xdr:row>
      <xdr:rowOff>97466</xdr:rowOff>
    </xdr:to>
    <xdr:sp macro="" textlink="">
      <xdr:nvSpPr>
        <xdr:cNvPr id="2" name="Rectangle : coins arrondis 1">
          <a:extLst>
            <a:ext uri="{FF2B5EF4-FFF2-40B4-BE49-F238E27FC236}">
              <a16:creationId xmlns:a16="http://schemas.microsoft.com/office/drawing/2014/main" id="{70961B2A-57CB-4391-80B3-BD89829E8149}"/>
            </a:ext>
          </a:extLst>
        </xdr:cNvPr>
        <xdr:cNvSpPr/>
      </xdr:nvSpPr>
      <xdr:spPr>
        <a:xfrm>
          <a:off x="23116953" y="1027815"/>
          <a:ext cx="2507512" cy="198474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BE" sz="1100"/>
            <a:t>Il faut trouver des actions pour les faiblesses, les menaces et si possible occortunités </a:t>
          </a:r>
        </a:p>
        <a:p>
          <a:pPr algn="l"/>
          <a:endParaRPr lang="fr-BE" sz="1100"/>
        </a:p>
        <a:p>
          <a:pPr algn="l"/>
          <a:r>
            <a:rPr lang="fr-BE" sz="1100"/>
            <a:t>AFOM</a:t>
          </a:r>
          <a:r>
            <a:rPr lang="fr-BE" sz="1100" baseline="0"/>
            <a:t> = attout, faiblesse, opportunité, menace (équivalent SWOT)</a:t>
          </a:r>
          <a:endParaRPr lang="fr-BE" sz="1100"/>
        </a:p>
      </xdr:txBody>
    </xdr:sp>
    <xdr:clientData/>
  </xdr:twoCellAnchor>
</xdr:wsDr>
</file>

<file path=xl/persons/person.xml><?xml version="1.0" encoding="utf-8"?>
<personList xmlns="http://schemas.microsoft.com/office/spreadsheetml/2018/threadedcomments" xmlns:x="http://schemas.openxmlformats.org/spreadsheetml/2006/main">
  <person displayName="Jan Janssen" id="{6E62135F-B85A-4215-93FC-A810116DFA0A}" userId="S::jan@co2logic.com::f7c5d225-0d51-4c66-8c78-ddf3413ebfe5" providerId="AD"/>
  <person displayName="Marie Orlovski" id="{2ABF40C0-6E9A-4E21-AB02-CC887538AED2}" userId="S::marie@co2logic.com::191136b1-af86-44ad-98ef-8a46d910ea92" providerId="AD"/>
  <person displayName="Arnaud François" id="{6DF07E02-1BED-4B90-ACB1-D30CA7C70FCB}" userId="S::arnaud@co2logic.com::4835c42f-cb1a-4d97-b00c-2fa122d20b1d" providerId="AD"/>
  <person displayName="Kristof  Cuadros Perez" id="{50E80A98-6EB8-49E8-8D95-4EE9E80F7F0E}" userId="S::kristof@co2logic.com::00aac301-0353-41a7-b605-dcffc85cf9a0" providerId="AD"/>
  <person displayName="Coralie Meeus" id="{93157A39-0A35-453C-B207-05994796AA9B}" userId="S::cmeeus@jette.irisnet.be::577f5e35-5d5a-4d72-87b9-2b157d71bc3a" providerId="AD"/>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W1" dT="2021-11-07T21:48:56.30" personId="{6E62135F-B85A-4215-93FC-A810116DFA0A}" id="{AEC4EEBD-43AF-4EC7-8C09-9B398FF3EF8F}">
    <text>The original emission source, not taking into account cross corrections</text>
  </threadedComment>
  <threadedComment ref="X1" dT="2021-11-07T21:49:12.65" personId="{6E62135F-B85A-4215-93FC-A810116DFA0A}" id="{168DC791-DB0D-4246-BD5D-C92C6E41D7AE}">
    <text>The emission source, taking into account cross corrections</text>
  </threadedComment>
  <threadedComment ref="S4" dT="2022-01-25T22:24:33.18" personId="{6E62135F-B85A-4215-93FC-A810116DFA0A}" id="{850152FA-8B19-4913-8DFB-E76517542C2C}">
    <text>qté de plastique achetée (tonne) MAX ... seems difficult to measure</text>
  </threadedComment>
  <threadedComment ref="T8" dT="2021-11-08T14:32:38.95" personId="{6DF07E02-1BED-4B90-ACB1-D30CA7C70FCB}" id="{A0E4E1E0-C2FE-4CF1-8568-1818D6FFA367}">
    <text>hors ordinateurs</text>
  </threadedComment>
  <threadedComment ref="I15" dT="2021-11-08T11:00:30.47" personId="{6DF07E02-1BED-4B90-ACB1-D30CA7C70FCB}" id="{D4879507-5A07-4B32-948D-DF277A76ED76}">
    <text>??</text>
  </threadedComment>
  <threadedComment ref="W20" dT="2021-11-08T15:52:32.52" personId="{2ABF40C0-6E9A-4E21-AB02-CC887538AED2}" id="{683E82C3-3CA4-4D07-ACEB-0C5DDB6CA8E0}">
    <text>Pas d'émissions de gaz réfirgérant recensées</text>
  </threadedComment>
  <threadedComment ref="S23" dT="2021-11-08T11:17:24.34" personId="{6DF07E02-1BED-4B90-ACB1-D30CA7C70FCB}" id="{BD26C89E-783B-43F6-8F66-699FD3FDB4C4}">
    <text>dépend du type de bien (nourriture?)</text>
  </threadedComment>
  <threadedComment ref="Z40" dT="2021-11-08T10:06:11.96" personId="{2ABF40C0-6E9A-4E21-AB02-CC887538AED2}" id="{0E9D9095-0C23-479C-A22B-5BDCBCD2C05C}">
    <text>Eau pas prise en compte dans BC</text>
  </threadedComment>
  <threadedComment ref="Z42" dT="2021-11-05T16:24:36.99" personId="{2ABF40C0-6E9A-4E21-AB02-CC887538AED2}" id="{8F6B873A-ADCE-4800-A065-17CBEF5FB7BF}">
    <text>for monitoring online</text>
  </threadedComment>
  <threadedComment ref="Z47" dT="2022-01-22T16:21:12.66" personId="{6E62135F-B85A-4215-93FC-A810116DFA0A}" id="{45818681-8F27-44BB-9900-2C18789BFC77}">
    <text>verschil met mazout en oud</text>
  </threadedComment>
  <threadedComment ref="Z48" dT="2021-11-05T16:24:36.99" personId="{2ABF40C0-6E9A-4E21-AB02-CC887538AED2}" id="{7AC5AE57-7221-45D5-AA6A-C4AD7E38D3E9}">
    <text>for monitoring online</text>
  </threadedComment>
  <threadedComment ref="Z51" dT="2021-11-08T10:10:35.39" personId="{2ABF40C0-6E9A-4E21-AB02-CC887538AED2}" id="{A694F1F3-7743-48F6-A898-6C14AB6A20C3}">
    <text>Hypothèse que cela permettra d'initier plus de changement vu que ressources financières dispo</text>
  </threadedComment>
  <threadedComment ref="Z52" dT="2021-11-08T13:27:14.58" personId="{2ABF40C0-6E9A-4E21-AB02-CC887538AED2}" id="{75A9BDB8-9786-4EAB-8D86-E0B0D2CE92FB}">
    <text>Si + de personnel, similaire à + de subsides, aide à faire + d'actions</text>
  </threadedComment>
  <threadedComment ref="L55" dT="2021-09-21T08:45:11.74" personId="{6E62135F-B85A-4215-93FC-A810116DFA0A}" id="{D19AAF2B-F9F8-49F3-B919-1F1B3949A527}">
    <text>temps + disponibilités</text>
  </threadedComment>
  <threadedComment ref="W55" dT="2021-11-17T20:22:07.07" personId="{6E62135F-B85A-4215-93FC-A810116DFA0A}" id="{B35D6039-9EDE-4C76-8772-9CD0348163A1}">
    <text>only for admin people if also for schools, bigger</text>
  </threadedComment>
  <threadedComment ref="W56" dT="2021-11-17T20:31:16.32" personId="{6E62135F-B85A-4215-93FC-A810116DFA0A}" id="{9511CC5B-7EE0-4DFD-86C2-A9CA79C47B23}">
    <text>enkel admin veronderstel ik</text>
  </threadedComment>
  <threadedComment ref="W58" dT="2021-11-17T21:03:20.94" personId="{6E62135F-B85A-4215-93FC-A810116DFA0A}" id="{EF6F2DA6-E257-48F3-8F94-A387E62A9C4B}">
    <text>is reeds 100% groene stroom</text>
  </threadedComment>
  <threadedComment ref="N63" dT="2021-09-21T10:44:19.88" personId="{6E62135F-B85A-4215-93FC-A810116DFA0A}" id="{CBB7CC60-0B08-41B3-87D0-DE95A4ABFA2F}">
    <text>renovation complete ventilation à faire</text>
  </threadedComment>
  <threadedComment ref="T63" dT="2022-01-23T15:42:24.15" personId="{6E62135F-B85A-4215-93FC-A810116DFA0A}" id="{C99DD887-A309-4B6A-921A-872B55D0A8F1}">
    <text>2 jour teletravail pour 30% des personnes communales (excl. enseignants, etc.) avec marge de manoeuvre de 80%</text>
  </threadedComment>
  <threadedComment ref="Z63" dT="2021-11-05T16:52:50.84" personId="{2ABF40C0-6E9A-4E21-AB02-CC887538AED2}" id="{F0F910F3-8B7F-4AB6-A2EA-44C9EE43900F}">
    <text>Disons -30% de l'espace nécessaire si teletravail en place et NWOW</text>
  </threadedComment>
  <threadedComment ref="Z63" dT="2021-11-17T20:46:19.34" personId="{6E62135F-B85A-4215-93FC-A810116DFA0A}" id="{ABFFF2D6-0EFB-40D8-94EE-95494F42181E}" parentId="{F0F910F3-8B7F-4AB6-A2EA-44C9EE43900F}">
    <text>is part of the indicator &gt; reduction is 100%</text>
  </threadedComment>
  <threadedComment ref="T64" dT="2021-11-17T20:57:17.21" personId="{6E62135F-B85A-4215-93FC-A810116DFA0A}" id="{37281167-85EE-42EB-9AE2-0546B2B32A01}">
    <text>voor 30% gebouwen 1/4 van oppervlakte</text>
  </threadedComment>
  <threadedComment ref="W64" dT="2021-11-17T20:57:28.30" personId="{6E62135F-B85A-4215-93FC-A810116DFA0A}" id="{574D7B61-9867-4EDE-87AA-D684341830CF}">
    <text>alleen admin</text>
  </threadedComment>
  <threadedComment ref="Z64" dT="2022-01-23T15:45:18.28" personId="{6E62135F-B85A-4215-93FC-A810116DFA0A}" id="{57FD3C23-4E09-4F93-9B68-56CA22A68C54}">
    <text>Only 20% because there will still be heated probably but less.</text>
  </threadedComment>
  <threadedComment ref="Z67" dT="2021-11-08T13:15:12.27" personId="{6DF07E02-1BED-4B90-ACB1-D30CA7C70FCB}" id="{58D8983B-34E0-4004-A679-A3FC0CB10EA7}">
    <text>négligeable sur la quantité totale de papier</text>
  </threadedComment>
  <threadedComment ref="W71" dT="2021-11-08T13:00:15.47" personId="{6DF07E02-1BED-4B90-ACB1-D30CA7C70FCB}" id="{53E9ED87-F5A3-4165-9CE5-4718DAF9C416}">
    <text>pas de données</text>
  </threadedComment>
  <threadedComment ref="W72" dT="2021-11-08T13:00:15.47" personId="{6DF07E02-1BED-4B90-ACB1-D30CA7C70FCB}" id="{FD8B2D18-C7EB-4DC2-813F-6CC87613821A}">
    <text>pas de données</text>
  </threadedComment>
  <threadedComment ref="Z73" dT="2022-01-26T11:13:25.62" personId="{6E62135F-B85A-4215-93FC-A810116DFA0A}" id="{6712C9BB-16B2-4576-8897-073AF3DE23AD}">
    <text>dans le déchets ménagères, organique est normalement +50%</text>
  </threadedComment>
  <threadedComment ref="T74" dT="2021-11-08T14:03:10.75" personId="{6DF07E02-1BED-4B90-ACB1-D30CA7C70FCB}" id="{9BFA49C5-8A41-4DCF-A770-FF9F2DAF8FC8}">
    <text>viser 100% semble peu réaliste</text>
  </threadedComment>
  <threadedComment ref="Y74" dT="2021-11-08T14:04:07.02" personId="{6DF07E02-1BED-4B90-ACB1-D30CA7C70FCB}" id="{51DA1D47-F7A0-48FB-9709-4020DB2A35F4}">
    <text>lié à l'action 12?</text>
  </threadedComment>
  <threadedComment ref="Z78" dT="2022-01-26T11:22:23.79" personId="{6E62135F-B85A-4215-93FC-A810116DFA0A}" id="{A74EF9D7-126C-4ED4-A9DE-A563F1BB679F}">
    <text>hypothese: 40% des déchets organiques, 50% lié au lunch.</text>
  </threadedComment>
  <threadedComment ref="D83" dT="2022-01-26T13:19:23.67" personId="{6E62135F-B85A-4215-93FC-A810116DFA0A}" id="{B8E8DC7C-C1D8-436C-B854-FEA51AE47CFA}">
    <text>https://www.ademe.fr/collectivites-secteur-public/animer-territoire/demarches-planifier-agir/programme-dispositif-labellisation-economie-circulaire</text>
  </threadedComment>
  <threadedComment ref="I100" dT="2022-01-26T14:07:02.28" personId="{6E62135F-B85A-4215-93FC-A810116DFA0A}" id="{4D85A910-1D68-4AD0-8E38-44EE4116E6B8}">
    <text>https://www.nationalgeographic.com/environment/article/why-tiny-forests-are-popping-up-in-big-cities</text>
  </threadedComment>
  <threadedComment ref="AA100" dT="2022-01-26T14:11:50.24" personId="{6E62135F-B85A-4215-93FC-A810116DFA0A}" id="{8633573E-D7EC-440A-896B-EC9E1887D8CD}">
    <text>https://www.nationalgeographic.com/environment/article/why-tiny-forests-are-popping-up-in-big-cities</text>
  </threadedComment>
  <threadedComment ref="AA101" dT="2021-11-08T10:45:26.91" personId="{6DF07E02-1BED-4B90-ACB1-D30CA7C70FCB}" id="{52A55F03-FAF8-475A-9421-6827A1D77B6C}">
    <text>En moyenne, la plupart des estimations considèrent qu’un arbre nouvellement planté stocke entre 10 et 50 kg de CO2 par an (avec une moyenne de 20-30 kg par an pour la plupart des arbres communs). https://youmatter.world/fr/arbres-stocke-carbone-combien/</text>
  </threadedComment>
  <threadedComment ref="AA102" dT="2021-11-08T10:45:26.91" personId="{6DF07E02-1BED-4B90-ACB1-D30CA7C70FCB}" id="{BA23C317-F3A5-4892-9AF2-D81B7B49D833}">
    <text>En moyenne, la plupart des estimations considèrent qu’un arbre nouvellement planté stocke entre 10 et 50 kg de CO2 par an (avec une moyenne de 20-30 kg par an pour la plupart des arbres communs). https://youmatter.world/fr/arbres-stocke-carbone-combien/</text>
  </threadedComment>
  <threadedComment ref="T106" dT="2022-01-27T10:29:58.89" personId="{6E62135F-B85A-4215-93FC-A810116DFA0A}" id="{EC523440-C2AF-455F-9044-3EBB13442552}">
    <text>=90%/16*5 = 28%, maar 50% door Cobrace</text>
  </threadedComment>
  <threadedComment ref="U106" dT="2022-01-23T11:56:30.61" personId="{6E62135F-B85A-4215-93FC-A810116DFA0A}" id="{CA3DBE8A-428F-477A-9A2F-EA3D940DF348}">
    <text>situatie in 2020 = 5 EV op totaal 19 personenwagens.</text>
  </threadedComment>
  <threadedComment ref="U106" dT="2022-01-23T14:19:28.73" personId="{6E62135F-B85A-4215-93FC-A810116DFA0A}" id="{DE4639F3-2842-4B45-AAEB-AF916935BA0C}" parentId="{CA3DBE8A-428F-477A-9A2F-EA3D940DF348}">
    <text>5 op totaal van 52 voertuigen.</text>
  </threadedComment>
  <threadedComment ref="Z106" dT="2022-01-23T14:21:08.32" personId="{6E62135F-B85A-4215-93FC-A810116DFA0A}" id="{2E0F5AAF-8218-48A2-967C-FAE9789B611F}">
    <text>met groene stroom</text>
  </threadedComment>
  <threadedComment ref="W109" dT="2021-11-08T13:41:40.99" personId="{6DF07E02-1BED-4B90-ACB1-D30CA7C70FCB}" id="{FAF77993-F724-44A1-9B7A-737B3856424B}">
    <text>s.d. --&gt; sans données</text>
  </threadedComment>
  <threadedComment ref="Z109" dT="2021-11-08T13:38:37.22" personId="{6DF07E02-1BED-4B90-ACB1-D30CA7C70FCB}" id="{468DCB18-B6FE-4E84-84D4-8A5F1AF1FBDD}">
    <text>dur d'estimer, vue qu'au final les émissions des animaux doivent être quand même importante aussi</text>
  </threadedComment>
  <threadedComment ref="W111" dT="2021-11-08T11:19:45.32" personId="{6DF07E02-1BED-4B90-ACB1-D30CA7C70FCB}" id="{C1E9BD99-4933-4B6F-AC20-72EC85136D7D}">
    <text>(Sankey) seuls les chiffres pour homework sont indiqués</text>
  </threadedComment>
  <threadedComment ref="Z113" dT="2021-11-08T12:59:14.82" personId="{6DF07E02-1BED-4B90-ACB1-D30CA7C70FCB}" id="{5518C6FC-D44D-45CB-B00A-7A2C1C9928D9}">
    <text>action qui encourrage la prise de vélo mais sans réduction direct a priori</text>
  </threadedComment>
  <threadedComment ref="W115" dT="2021-11-08T12:03:50.30" personId="{6DF07E02-1BED-4B90-ACB1-D30CA7C70FCB}" id="{6CCD0B85-FB66-4DF4-9047-5941E6EC24C1}">
    <text>cfr. cellules séléctionnées?</text>
  </threadedComment>
  <threadedComment ref="S117" dT="2022-01-23T14:40:57.14" personId="{6E62135F-B85A-4215-93FC-A810116DFA0A}" id="{80BBB58A-6BA4-4F56-92FB-74E2281E070F}">
    <text>mogelijk met km-teller van fietsen</text>
  </threadedComment>
  <threadedComment ref="S119" dT="2022-01-23T15:03:04.79" personId="{6E62135F-B85A-4215-93FC-A810116DFA0A}" id="{39027B27-2E74-4436-B751-949C2B00F961}">
    <text>% des déplacement fait avec vélo ou vélo electriques. Deja à 2 %</text>
  </threadedComment>
  <threadedComment ref="U119" dT="2022-01-23T15:06:05.13" personId="{6E62135F-B85A-4215-93FC-A810116DFA0A}" id="{A267E75D-F594-4970-8045-769BB439A7EF}">
    <text>De 2% is huidig aantal km met de fiets gedaan. Is redelijk weinig.</text>
  </threadedComment>
  <threadedComment ref="Z119" dT="2022-01-23T15:07:20.96" personId="{6E62135F-B85A-4215-93FC-A810116DFA0A}" id="{D96FA2DD-E6B0-4263-A906-8EAD67EA2C7D}">
    <text>In de veronderstelling dat ze het in 50% van de gevallen of van de afstand gebruiken.</text>
  </threadedComment>
  <threadedComment ref="W120" dT="2022-01-23T15:09:31.98" personId="{6E62135F-B85A-4215-93FC-A810116DFA0A}" id="{BDC03989-D3C4-4FD7-8CBB-648C495C7441}">
    <text>2 voertuigen (compacteur)</text>
  </threadedComment>
  <threadedComment ref="S121" dT="2021-11-08T11:17:24.34" personId="{6DF07E02-1BED-4B90-ACB1-D30CA7C70FCB}" id="{1E674A39-5356-4CC5-A07C-B538D7A747FE}">
    <text>dépend du type de bien (nourriture?)</text>
  </threadedComment>
  <threadedComment ref="W121" dT="2021-11-08T11:19:45.32" personId="{6DF07E02-1BED-4B90-ACB1-D30CA7C70FCB}" id="{FDCB7DD9-CECD-4C82-9294-CAEDCE98435E}">
    <text>(Sankey) seuls les chiffres pour homework sont indiqués</text>
  </threadedComment>
  <threadedComment ref="W121" dT="2021-11-08T13:42:37.74" personId="{6DF07E02-1BED-4B90-ACB1-D30CA7C70FCB}" id="{7E358A8D-EBE9-4F0A-894C-88BB35407F75}" parentId="{FDCB7DD9-CECD-4C82-9294-CAEDCE98435E}">
    <text>alimentation juste</text>
  </threadedComment>
  <threadedComment ref="S122" dT="2022-01-23T14:45:31.33" personId="{6E62135F-B85A-4215-93FC-A810116DFA0A}" id="{45DFA7DD-DF0F-48BF-821A-C0CA1364F3CF}">
    <text>% commande groupée (p/r commande totale) ?</text>
  </threadedComment>
  <threadedComment ref="T122" dT="2022-01-23T14:46:23.73" personId="{6E62135F-B85A-4215-93FC-A810116DFA0A}" id="{B72B3DE8-51BA-4247-A4EF-CF47D1851BF8}">
    <text>Possible a mesurer ?</text>
  </threadedComment>
  <threadedComment ref="W122" dT="2022-01-23T15:11:33.89" personId="{6E62135F-B85A-4215-93FC-A810116DFA0A}" id="{E81D6E52-4569-41AA-8CA8-BB97E9A72BB8}">
    <text>veronderstellen dat 2% van de afstand gedaan is voor transport colruyt ... to check</text>
  </threadedComment>
  <threadedComment ref="W124" dT="2021-11-08T13:00:15.47" personId="{6DF07E02-1BED-4B90-ACB1-D30CA7C70FCB}" id="{A1D1844D-BE59-4515-B5C3-945F686B9BA1}">
    <text>pas de données</text>
  </threadedComment>
  <threadedComment ref="T125" dT="2022-01-23T15:14:03.07" personId="{6E62135F-B85A-4215-93FC-A810116DFA0A}" id="{5700A689-E293-4AB1-A92C-B350EED6AE2E}">
    <text>In de onderstelling dat 30% van de mensen kan thuiswerken.</text>
  </threadedComment>
  <threadedComment ref="W125" dT="2021-11-08T12:01:33.84" personId="{6DF07E02-1BED-4B90-ACB1-D30CA7C70FCB}" id="{5E31C89E-59AC-4511-8FFE-9079C695275A}">
    <text>charoi? car pas vraiment applicable aux trajets</text>
  </threadedComment>
  <threadedComment ref="W127" dT="2021-11-17T20:32:35.83" personId="{6E62135F-B85A-4215-93FC-A810116DFA0A}" id="{FEDA7E77-5375-4732-83A1-707C139F85FB}">
    <text>schools, creches, admin buildings</text>
  </threadedComment>
  <threadedComment ref="Z127" dT="2021-11-08T10:03:50.54" personId="{2ABF40C0-6E9A-4E21-AB02-CC887538AED2}" id="{AB38D73A-6478-411E-8149-96CED6DAC9CC}">
    <text>Action préparatoire</text>
  </threadedComment>
</ThreadedComments>
</file>

<file path=xl/threadedComments/threadedComment2.xml><?xml version="1.0" encoding="utf-8"?>
<ThreadedComments xmlns="http://schemas.microsoft.com/office/spreadsheetml/2018/threadedcomments" xmlns:x="http://schemas.openxmlformats.org/spreadsheetml/2006/main">
  <threadedComment ref="W1" dT="2021-11-07T21:48:56.30" personId="{6E62135F-B85A-4215-93FC-A810116DFA0A}" id="{FDFCFE43-4FB2-4A52-873E-3155AB412BF7}">
    <text>The original emission source, not taking into account cross corrections</text>
  </threadedComment>
  <threadedComment ref="X1" dT="2021-11-07T21:49:12.65" personId="{6E62135F-B85A-4215-93FC-A810116DFA0A}" id="{33C45A72-9FBD-411D-8A75-604777A7DD5A}">
    <text>The emission source, taking into account cross corrections</text>
  </threadedComment>
  <threadedComment ref="Z2" dT="2022-06-25T20:24:12.44" personId="{6E62135F-B85A-4215-93FC-A810116DFA0A}" id="{11F452C8-D490-4E0E-84C9-B3C565052263}">
    <text>Veronderstel 5% minder aankoop door die inventaris.</text>
  </threadedComment>
  <threadedComment ref="S4" dT="2022-01-25T22:24:33.18" personId="{6E62135F-B85A-4215-93FC-A810116DFA0A}" id="{F88CBB42-4348-4AF5-A285-487A87EB906F}">
    <text>qté de plastique achetée (tonne) MAX ... seems difficult to measure</text>
  </threadedComment>
  <threadedComment ref="T8" dT="2021-11-08T14:32:38.95" personId="{6DF07E02-1BED-4B90-ACB1-D30CA7C70FCB}" id="{83FF777D-8F8F-416D-B581-FE68022D1918}">
    <text>hors ordinateurs</text>
  </threadedComment>
  <threadedComment ref="Z8" dT="2022-06-25T20:29:49.26" personId="{6E62135F-B85A-4215-93FC-A810116DFA0A}" id="{E4C39BED-8B7F-4A78-9DD8-2F48FFC1B1BA}">
    <text>3 vervangen door 1</text>
  </threadedComment>
  <threadedComment ref="Z9" dT="2022-06-25T20:33:27.06" personId="{6E62135F-B85A-4215-93FC-A810116DFA0A}" id="{413742F3-1D6F-484B-A31A-81914D779ACB}">
    <text>hypothese dat het 1/3 langer gaat meegaan bij economie functionel.</text>
  </threadedComment>
  <threadedComment ref="Z12" dT="2022-06-25T22:06:26.22" personId="{6E62135F-B85A-4215-93FC-A810116DFA0A}" id="{96F89157-F0E4-452C-93B7-EF57829F8458}">
    <text>schatting een derde minder uitstoot, maar ik denk meer. LCA op te zoeken.</text>
  </threadedComment>
  <threadedComment ref="I15" dT="2021-11-08T11:00:30.47" personId="{6DF07E02-1BED-4B90-ACB1-D30CA7C70FCB}" id="{C388F695-24AE-4CFC-9392-4716526B550D}">
    <text>??</text>
  </threadedComment>
  <threadedComment ref="W20" dT="2021-11-08T15:52:32.52" personId="{2ABF40C0-6E9A-4E21-AB02-CC887538AED2}" id="{EB6A48DE-94B2-4EBA-A674-F972BDFD510D}">
    <text>Pas d'émissions de gaz réfirgérant recensées</text>
  </threadedComment>
  <threadedComment ref="S23" dT="2021-11-08T11:17:24.34" personId="{6DF07E02-1BED-4B90-ACB1-D30CA7C70FCB}" id="{BE3188A3-5A21-4510-8AEF-61777B312B13}">
    <text>dépend du type de bien (nourriture?)</text>
  </threadedComment>
  <threadedComment ref="G24" dT="2023-02-25T19:08:44.01" personId="{93157A39-0A35-453C-B207-05994796AA9B}" id="{8550B39E-4A91-4778-B804-817E0208852F}">
    <text>Action supprimée du PA</text>
  </threadedComment>
  <threadedComment ref="Z40" dT="2021-11-08T10:06:11.96" personId="{2ABF40C0-6E9A-4E21-AB02-CC887538AED2}" id="{E28954E1-87C2-408F-BB8A-4AD01973A000}">
    <text>Eau pas prise en compte dans BC</text>
  </threadedComment>
  <threadedComment ref="Z42" dT="2021-11-05T16:24:36.99" personId="{2ABF40C0-6E9A-4E21-AB02-CC887538AED2}" id="{30E52D23-C915-473F-BD4E-0D658E887B4F}">
    <text>for monitoring online</text>
  </threadedComment>
  <threadedComment ref="T45" dT="2022-05-12T09:24:01.88" personId="{6E62135F-B85A-4215-93FC-A810116DFA0A}" id="{4E87899B-9F5B-4169-B549-0E79DDD380B7}">
    <text>To be verified by Sami</text>
  </threadedComment>
  <threadedComment ref="Z45" dT="2022-05-13T07:43:55.44" personId="{6E62135F-B85A-4215-93FC-A810116DFA0A}" id="{840ED513-D48F-449E-9AA0-B1A5BC278413}">
    <text>indicated by renoclick as the average reduction generated</text>
  </threadedComment>
  <threadedComment ref="Z48" dT="2022-01-22T16:21:12.66" personId="{6E62135F-B85A-4215-93FC-A810116DFA0A}" id="{A2EBDC95-2406-456D-ABC9-363D0F84C360}">
    <text>verschil met mazout en oud</text>
  </threadedComment>
  <threadedComment ref="Z49" dT="2021-11-05T16:24:36.99" personId="{2ABF40C0-6E9A-4E21-AB02-CC887538AED2}" id="{61945F04-8A7D-47F1-AF2A-9ACC4D44C4BA}">
    <text>for monitoring online</text>
  </threadedComment>
  <threadedComment ref="Z51" dT="2022-05-13T07:43:38.18" personId="{6E62135F-B85A-4215-93FC-A810116DFA0A}" id="{7B3809FB-7827-4053-8D25-017B5BA1F22D}">
    <text>indicated by plage as the average reduction realised</text>
  </threadedComment>
  <threadedComment ref="Z52" dT="2021-11-08T10:10:35.39" personId="{2ABF40C0-6E9A-4E21-AB02-CC887538AED2}" id="{6F02168A-1E32-462B-854C-5AF2DE10C607}">
    <text>Hypothèse que cela permettra d'initier plus de changement vu que ressources financières dispo</text>
  </threadedComment>
  <threadedComment ref="Z53" dT="2021-11-08T13:27:14.58" personId="{2ABF40C0-6E9A-4E21-AB02-CC887538AED2}" id="{1745C51E-92BF-4ECD-A016-1FEAD2FD037D}">
    <text>Si + de personnel, similaire à + de subsides, aide à faire + d'actions</text>
  </threadedComment>
  <threadedComment ref="L56" dT="2021-09-21T08:45:11.74" personId="{6E62135F-B85A-4215-93FC-A810116DFA0A}" id="{22975AC4-ECC0-47B4-AC79-39FEF9F75880}">
    <text>temps + disponibilités</text>
  </threadedComment>
  <threadedComment ref="W56" dT="2021-11-17T20:22:07.07" personId="{6E62135F-B85A-4215-93FC-A810116DFA0A}" id="{59CFDEFA-551B-48CF-B55A-08F73C3D214B}">
    <text>only for admin people if also for schools, bigger</text>
  </threadedComment>
  <threadedComment ref="W57" dT="2021-11-17T20:31:16.32" personId="{6E62135F-B85A-4215-93FC-A810116DFA0A}" id="{6615D2C4-63E3-4E1A-8726-8CBA57205376}">
    <text>enkel admin veronderstel ik</text>
  </threadedComment>
  <threadedComment ref="W59" dT="2021-11-17T21:03:20.94" personId="{6E62135F-B85A-4215-93FC-A810116DFA0A}" id="{B8ECE2AB-8932-49A9-BA66-415F564AFBA0}">
    <text>is reeds 100% groene stroom</text>
  </threadedComment>
  <threadedComment ref="W63" dT="2022-06-07T14:50:39.84" personId="{6E62135F-B85A-4215-93FC-A810116DFA0A}" id="{E1614B3F-1998-4E70-8E84-059805330180}">
    <text>voir hypothese: 10% de pompes à chaleur hybride</text>
  </threadedComment>
  <threadedComment ref="Z63" dT="2023-06-29T16:34:33.29" personId="{50E80A98-6EB8-49E8-8D95-4EE9E80F7F0E}" id="{D23EB783-6A9B-4DCB-8B17-AADC4262DB1B}">
    <text>Hybrid heat pump assumed to be switching 50% of the time to gas boiler. 
-94% X 50% reduction in tCO2E = -47%</text>
  </threadedComment>
  <threadedComment ref="W64" dT="2022-06-07T14:50:39.84" personId="{6E62135F-B85A-4215-93FC-A810116DFA0A}" id="{012FCFF2-86D0-4FF7-AE2E-81AE340F807E}">
    <text>voir hypothese: 10% de pompes à chaleur hybride</text>
  </threadedComment>
  <threadedComment ref="Z64" dT="2023-06-29T16:34:33.29" personId="{50E80A98-6EB8-49E8-8D95-4EE9E80F7F0E}" id="{949DFBE1-6BB1-4916-BB52-EEDCDD540D4D}">
    <text>Hybrid heat pump assumed to be switching 50% of the time to gas boiler. 
-94% X 50% reduction in tCO2E = -47%</text>
  </threadedComment>
  <threadedComment ref="N67" dT="2021-09-21T10:44:19.88" personId="{6E62135F-B85A-4215-93FC-A810116DFA0A}" id="{7E2F2378-9A4F-4557-8734-10FACD769265}">
    <text>renovation complete ventilation à faire</text>
  </threadedComment>
  <threadedComment ref="T67" dT="2022-01-23T15:42:24.15" personId="{6E62135F-B85A-4215-93FC-A810116DFA0A}" id="{A5B4C58F-0587-4793-A966-31E4AFF9DAC2}">
    <text>2 jour teletravail pour 75% des personnes dans les batiments Maison communale, theodore et prevention.</text>
  </threadedComment>
  <threadedComment ref="W67" dT="2022-05-12T14:27:42.48" personId="{6E62135F-B85A-4215-93FC-A810116DFA0A}" id="{5421331B-91A8-435F-912E-4AE25DFD8351}">
    <text>only for offices</text>
  </threadedComment>
  <threadedComment ref="W67" dT="2022-06-29T19:43:11.23" personId="{6E62135F-B85A-4215-93FC-A810116DFA0A}" id="{8B6F6646-4EC9-408E-9417-E918E7236478}" parentId="{5421331B-91A8-435F-912E-4AE25DFD8351}">
    <text>Theodore, Maison Communale, Service prevention</text>
  </threadedComment>
  <threadedComment ref="T68" dT="2021-11-17T20:57:17.21" personId="{6E62135F-B85A-4215-93FC-A810116DFA0A}" id="{E8F28FD4-129D-45F6-83EB-D78C1FE08B00}">
    <text>voor 60% gebouwen 1/4 van oppervlakte</text>
  </threadedComment>
  <threadedComment ref="W68" dT="2021-11-17T20:57:28.30" personId="{6E62135F-B85A-4215-93FC-A810116DFA0A}" id="{1714A95F-7785-4214-A6A8-20B60563F6A5}">
    <text>alleen admin</text>
  </threadedComment>
  <threadedComment ref="Z68" dT="2022-01-23T15:45:18.28" personId="{6E62135F-B85A-4215-93FC-A810116DFA0A}" id="{0AC744AB-019D-4082-9D41-D0D42F0994B9}">
    <text>Only 20% because there will still be heated probably but less.</text>
  </threadedComment>
  <threadedComment ref="Z71" dT="2021-11-08T13:15:12.27" personId="{6DF07E02-1BED-4B90-ACB1-D30CA7C70FCB}" id="{04C8C787-7853-4400-83A7-8F572A3BEDBE}">
    <text>négligeable sur la quantité totale de papier</text>
  </threadedComment>
  <threadedComment ref="W75" dT="2022-06-27T10:48:38.91" personId="{6E62135F-B85A-4215-93FC-A810116DFA0A}" id="{AA10C7C7-9C89-447A-95AB-C529F571C3A2}">
    <text>kinderverzorgsers = 52, 10 kinderen per verzorgster, 3 shiften, 5 luiers per dag, 0,3 kg voor plaspamper en 0,5 voor kakapamper</text>
  </threadedComment>
  <threadedComment ref="Z75" dT="2022-06-27T11:01:40.81" personId="{6E62135F-B85A-4215-93FC-A810116DFA0A}" id="{4DCFA6C2-9657-4E8F-A5E3-109AD5E003DC}">
    <text>ALs 30% ouders opteren van optie, en dus 30% luiers kan vervangen worden</text>
  </threadedComment>
  <threadedComment ref="W76" dT="2021-11-08T13:00:15.47" personId="{6DF07E02-1BED-4B90-ACB1-D30CA7C70FCB}" id="{DB9E8F42-CC08-48D9-B1A5-298BF163D22D}">
    <text>pas de données</text>
  </threadedComment>
  <threadedComment ref="Z77" dT="2022-01-26T11:13:25.62" personId="{6E62135F-B85A-4215-93FC-A810116DFA0A}" id="{23EF2124-E9B3-4597-AC5F-1C151A3A33DA}">
    <text>dans le déchets ménagères, organique est normalement +50%</text>
  </threadedComment>
  <threadedComment ref="Z78" dT="2022-06-07T14:57:44.71" personId="{6E62135F-B85A-4215-93FC-A810116DFA0A}" id="{19460C4B-F453-4BAE-8A04-5EED3A728F59}">
    <text>voir hypothese</text>
  </threadedComment>
  <threadedComment ref="T79" dT="2022-05-23T09:57:58.38" personId="{6E62135F-B85A-4215-93FC-A810116DFA0A}" id="{549D3349-76B3-4F64-A67C-1D90E3B35F35}">
    <text>30% from corbeille et balayage and 30% from déchets ménagère encombrant à récycler</text>
  </threadedComment>
  <threadedComment ref="Z79" dT="2022-06-07T15:03:59.62" personId="{6E62135F-B85A-4215-93FC-A810116DFA0A}" id="{1B054061-5CCE-4EB0-A1C7-9C40873355FB}">
    <text>EF used now: 362 (incineration), EF recycyling: 36 kg/ton</text>
  </threadedComment>
  <threadedComment ref="T80" dT="2021-11-08T14:03:10.75" personId="{6DF07E02-1BED-4B90-ACB1-D30CA7C70FCB}" id="{B6243C3D-AD63-41AA-ACCA-E653A0842A85}">
    <text>viser 100% semble peu réaliste</text>
  </threadedComment>
  <threadedComment ref="Y80" dT="2021-11-08T14:04:07.02" personId="{6DF07E02-1BED-4B90-ACB1-D30CA7C70FCB}" id="{0380419D-D7A9-4B44-909B-1AAC5DA1850B}">
    <text>lié à l'action 12?</text>
  </threadedComment>
  <threadedComment ref="Z84" dT="2022-01-26T11:22:23.79" personId="{6E62135F-B85A-4215-93FC-A810116DFA0A}" id="{2985BA8E-54D2-475B-9013-8A2ACD0A71E5}">
    <text>hypothese: 40% des déchets organiques, 50% lié au lunch.</text>
  </threadedComment>
  <threadedComment ref="D90" dT="2022-01-26T13:19:23.67" personId="{6E62135F-B85A-4215-93FC-A810116DFA0A}" id="{FDDDC2CA-2162-46C8-AFDB-5EC200E53433}">
    <text>https://www.ademe.fr/collectivites-secteur-public/animer-territoire/demarches-planifier-agir/programme-dispositif-labellisation-economie-circulaire</text>
  </threadedComment>
  <threadedComment ref="I108" dT="2022-01-26T14:07:02.28" personId="{6E62135F-B85A-4215-93FC-A810116DFA0A}" id="{8FAB5089-D3CC-4B90-B535-48567469BDAC}">
    <text>https://www.nationalgeographic.com/environment/article/why-tiny-forests-are-popping-up-in-big-cities</text>
  </threadedComment>
  <threadedComment ref="AA108" dT="2022-01-26T14:11:50.24" personId="{6E62135F-B85A-4215-93FC-A810116DFA0A}" id="{BAA4ECC7-CDA7-410E-BEA5-C1FBE64DEE64}">
    <text>https://www.nationalgeographic.com/environment/article/why-tiny-forests-are-popping-up-in-big-cities</text>
  </threadedComment>
  <threadedComment ref="AA109" dT="2021-11-08T10:45:26.91" personId="{6DF07E02-1BED-4B90-ACB1-D30CA7C70FCB}" id="{BF329342-8359-47B4-A227-CC6C9A02DB9A}">
    <text>En moyenne, la plupart des estimations considèrent qu’un arbre nouvellement planté stocke entre 10 et 50 kg de CO2 par an (avec une moyenne de 20-30 kg par an pour la plupart des arbres communs). https://youmatter.world/fr/arbres-stocke-carbone-combien/</text>
  </threadedComment>
  <threadedComment ref="AA110" dT="2021-11-08T10:45:26.91" personId="{6DF07E02-1BED-4B90-ACB1-D30CA7C70FCB}" id="{AF84B2A4-EFA0-46A7-9DD7-B34E71882F44}">
    <text>En moyenne, la plupart des estimations considèrent qu’un arbre nouvellement planté stocke entre 10 et 50 kg de CO2 par an (avec une moyenne de 20-30 kg par an pour la plupart des arbres communs). https://youmatter.world/fr/arbres-stocke-carbone-combien/</text>
  </threadedComment>
  <threadedComment ref="AA111" dT="2021-11-08T10:45:26.91" personId="{6DF07E02-1BED-4B90-ACB1-D30CA7C70FCB}" id="{92E656AA-CF78-48E7-A4A2-B170DE50A32D}">
    <text>En moyenne, la plupart des estimations considèrent qu’un arbre nouvellement planté stocke entre 10 et 50 kg de CO2 par an (avec une moyenne de 20-30 kg par an pour la plupart des arbres communs). https://youmatter.world/fr/arbres-stocke-carbone-combien/</text>
  </threadedComment>
  <threadedComment ref="U116" dT="2022-01-23T11:56:30.61" personId="{6E62135F-B85A-4215-93FC-A810116DFA0A}" id="{68F90969-59C6-4339-86EB-C5921A03CEEE}">
    <text>situatie in 2020 = 5 EV op totaal 19 personenwagens.</text>
  </threadedComment>
  <threadedComment ref="U116" dT="2022-01-23T14:19:28.73" personId="{6E62135F-B85A-4215-93FC-A810116DFA0A}" id="{0D7ED788-9208-4861-B804-CBB86BFCD77B}" parentId="{68F90969-59C6-4339-86EB-C5921A03CEEE}">
    <text>5 op totaal van 52 voertuigen.</text>
  </threadedComment>
  <threadedComment ref="Z116" dT="2022-01-23T14:21:08.32" personId="{6E62135F-B85A-4215-93FC-A810116DFA0A}" id="{74A931D5-6A3A-4A1C-962D-EFCC65E535D2}">
    <text>met groene stroom</text>
  </threadedComment>
  <threadedComment ref="W119" dT="2021-11-08T13:41:40.99" personId="{6DF07E02-1BED-4B90-ACB1-D30CA7C70FCB}" id="{9926F85D-8FF5-41BD-A4D3-2A75477BE529}">
    <text>s.d. --&gt; sans données</text>
  </threadedComment>
  <threadedComment ref="Z119" dT="2021-11-08T13:38:37.22" personId="{6DF07E02-1BED-4B90-ACB1-D30CA7C70FCB}" id="{0BA6E5A9-CE40-4261-9467-CA5D96441845}">
    <text>dur d'estimer, vue qu'au final les émissions des animaux doivent être quand même importante aussi</text>
  </threadedComment>
  <threadedComment ref="W121" dT="2021-11-08T11:19:45.32" personId="{6DF07E02-1BED-4B90-ACB1-D30CA7C70FCB}" id="{8E6297BD-EBD3-4A87-A7A5-1E68CBBD4CBB}">
    <text>(Sankey) seuls les chiffres pour homework sont indiqués</text>
  </threadedComment>
  <threadedComment ref="Z123" dT="2021-11-08T12:59:14.82" personId="{6DF07E02-1BED-4B90-ACB1-D30CA7C70FCB}" id="{4D557B79-CFBE-40EC-9FB6-753A390DB480}">
    <text>action qui encourrage la prise de vélo mais sans réduction direct a priori</text>
  </threadedComment>
  <threadedComment ref="W126" dT="2021-11-08T12:03:50.30" personId="{6DF07E02-1BED-4B90-ACB1-D30CA7C70FCB}" id="{47C3C400-5F55-4EA6-ABC9-94F5A3FC3063}">
    <text>cfr. cellules séléctionnées?</text>
  </threadedComment>
  <threadedComment ref="S128" dT="2022-01-23T14:40:57.14" personId="{6E62135F-B85A-4215-93FC-A810116DFA0A}" id="{FBE4AA1B-8D5E-432B-B156-043B51929774}">
    <text>mogelijk met km-teller van fietsen</text>
  </threadedComment>
  <threadedComment ref="S130" dT="2022-01-23T15:03:04.79" personId="{6E62135F-B85A-4215-93FC-A810116DFA0A}" id="{1CF20A43-EFE3-4DFA-890D-A1AA18D0B21B}">
    <text>% des déplacement fait avec vélo ou vélo electriques. Deja à 2 %</text>
  </threadedComment>
  <threadedComment ref="U130" dT="2022-01-23T15:06:05.13" personId="{6E62135F-B85A-4215-93FC-A810116DFA0A}" id="{85C885C7-0483-4679-A22C-5B425E2AEBC6}">
    <text>Enkel professionele verplaatsingen. Er zijn al 2 scholen die een elektrische fiets hebben. Niet duidelijk hoeveel die gebruikt wordt.</text>
  </threadedComment>
  <threadedComment ref="U130" dT="2022-05-12T10:06:34.02" personId="{6E62135F-B85A-4215-93FC-A810116DFA0A}" id="{BA15CC67-4641-4DE5-B2E4-41D9883678C3}" parentId="{85C885C7-0483-4679-A22C-5B425E2AEBC6}">
    <text>2 scholen op 17 hebben al elek fiets.</text>
  </threadedComment>
  <threadedComment ref="U130" dT="2022-05-12T10:07:17.35" personId="{6E62135F-B85A-4215-93FC-A810116DFA0A}" id="{AAB63D38-6614-448B-B6AA-AED8B1F9F21A}" parentId="{85C885C7-0483-4679-A22C-5B425E2AEBC6}">
    <text>noteer dat de profes verplaatsingen in de carbon footprint busverplaatsingen zijn met de leerlingen. Dus heeft hier geen betrekking op. Deze post wordt zelfs niet meegenomen in de carbon footptrint, dus heeft geen effect.</text>
  </threadedComment>
  <threadedComment ref="W130" dT="2022-05-12T10:08:22.27" personId="{6E62135F-B85A-4215-93FC-A810116DFA0A}" id="{DF83CBA0-4805-491A-B128-A9667C2D532D}">
    <text>Deze post wordt niet meegenomen in de carbon footprint. Professionele verplaatsingen scholen en kribbes zijn de bussen die gebruikt worden voor schoolreizen en zwembad, etc.</text>
  </threadedComment>
  <threadedComment ref="Z130" dT="2022-01-23T15:07:20.96" personId="{6E62135F-B85A-4215-93FC-A810116DFA0A}" id="{0135DF6B-E3BE-40E3-A45E-9EB11E6867DA}">
    <text>In de veronderstelling dat ze het in 50% van de gevallen of van de afstand gebruiken.</text>
  </threadedComment>
  <threadedComment ref="S131" dT="2022-05-23T20:07:06.51" personId="{6E62135F-B85A-4215-93FC-A810116DFA0A}" id="{D2A5F5BC-8281-4ED0-B3F3-AB92D3507CDA}">
    <text>Part modale en 2019 = 31% voiture</text>
  </threadedComment>
  <threadedComment ref="W131" dT="2022-06-07T15:12:42.68" personId="{6E62135F-B85A-4215-93FC-A810116DFA0A}" id="{70610E05-A005-4AEF-BCAB-FD57823C8530}">
    <text>admin + ecoles + crèches</text>
  </threadedComment>
  <threadedComment ref="Z131" dT="2022-06-07T15:14:48.92" personId="{6E62135F-B85A-4215-93FC-A810116DFA0A}" id="{F49F3643-37F5-42C2-A111-4ED95855D8A3}">
    <text>EF voiture 0,21 vs gemiddelde OV (0,04) en fiets (0)</text>
  </threadedComment>
  <threadedComment ref="W132" dT="2022-01-23T15:09:31.98" personId="{6E62135F-B85A-4215-93FC-A810116DFA0A}" id="{AE8A1694-AFF1-47E0-A222-4054E3F59C66}">
    <text>2 voertuigen (compacteur)</text>
  </threadedComment>
  <threadedComment ref="S133" dT="2021-11-08T11:17:24.34" personId="{6DF07E02-1BED-4B90-ACB1-D30CA7C70FCB}" id="{40726BFC-C9C4-43D9-862C-DCE96F04AB3F}">
    <text>dépend du type de bien (nourriture?)</text>
  </threadedComment>
  <threadedComment ref="W133" dT="2021-11-08T11:19:45.32" personId="{6DF07E02-1BED-4B90-ACB1-D30CA7C70FCB}" id="{AF91CB20-F64D-4F3B-AB88-D88A0B41F8DE}">
    <text>(Sankey) seuls les chiffres pour homework sont indiqués</text>
  </threadedComment>
  <threadedComment ref="W133" dT="2021-11-08T13:42:37.74" personId="{6DF07E02-1BED-4B90-ACB1-D30CA7C70FCB}" id="{8D428FE8-2356-419F-9270-12147D9AD674}" parentId="{AF91CB20-F64D-4F3B-AB88-D88A0B41F8DE}">
    <text>alimentation juste</text>
  </threadedComment>
  <threadedComment ref="S134" dT="2022-01-23T14:45:31.33" personId="{6E62135F-B85A-4215-93FC-A810116DFA0A}" id="{5FD96CEC-CE7A-4AF0-AC0D-E301FFEB9645}">
    <text>% commande groupée (p/r commande totale) ?</text>
  </threadedComment>
  <threadedComment ref="T134" dT="2022-01-23T14:46:23.73" personId="{6E62135F-B85A-4215-93FC-A810116DFA0A}" id="{F4CF9513-9A31-4552-BB90-6DC4492ECA25}">
    <text>Possible a mesurer ?</text>
  </threadedComment>
  <threadedComment ref="W134" dT="2022-01-23T15:11:33.89" personId="{6E62135F-B85A-4215-93FC-A810116DFA0A}" id="{99C5F68C-BE99-440F-8ED9-FCA87FA12F69}">
    <text>veronderstellen dat 2% van de afstand gedaan is voor transport colruyt ... to check</text>
  </threadedComment>
  <threadedComment ref="W136" dT="2021-11-08T13:00:15.47" personId="{6DF07E02-1BED-4B90-ACB1-D30CA7C70FCB}" id="{39C82753-0DA6-499F-8375-9B2D7E57C34B}">
    <text>pas de données</text>
  </threadedComment>
  <threadedComment ref="T137" dT="2022-01-23T15:14:03.07" personId="{6E62135F-B85A-4215-93FC-A810116DFA0A}" id="{F3FDC675-E8C1-438A-9E00-C995486A185D}">
    <text>In de onderstelling dat 30% van de mensen kan thuiswerken.</text>
  </threadedComment>
  <threadedComment ref="T137" dT="2022-01-26T21:54:49.88" personId="{6E62135F-B85A-4215-93FC-A810116DFA0A}" id="{C419064A-A489-4DCD-9270-4B59089A7C81}" parentId="{F3FDC675-E8C1-438A-9E00-C995486A185D}">
    <text>dit gaat wrsh meer zijn in 2030 om dat er meer digitaal gaat gebeuren. Dus kan er ook meer thuisgewerkt worden.</text>
  </threadedComment>
  <threadedComment ref="W137" dT="2021-11-08T12:01:33.84" personId="{6DF07E02-1BED-4B90-ACB1-D30CA7C70FCB}" id="{EA3BAB3C-555D-4391-9C0D-AD9AF131E195}">
    <text>charoi? car pas vraiment applicable aux trajets</text>
  </threadedComment>
  <threadedComment ref="W139" dT="2021-11-17T20:32:35.83" personId="{6E62135F-B85A-4215-93FC-A810116DFA0A}" id="{F53E94D1-198E-478B-8251-C1952253EA59}">
    <text>schools, creches, admin buildings</text>
  </threadedComment>
  <threadedComment ref="Z139" dT="2021-11-08T10:03:50.54" personId="{2ABF40C0-6E9A-4E21-AB02-CC887538AED2}" id="{4A179FB5-0DDA-4315-A93C-D81C17928812}">
    <text>Action préparatoire</text>
  </threadedComment>
</ThreadedComments>
</file>

<file path=xl/threadedComments/threadedComment3.xml><?xml version="1.0" encoding="utf-8"?>
<ThreadedComments xmlns="http://schemas.microsoft.com/office/spreadsheetml/2018/threadedcomments" xmlns:x="http://schemas.openxmlformats.org/spreadsheetml/2006/main">
  <threadedComment ref="U2" dT="2021-11-07T21:48:56.30" personId="{6E62135F-B85A-4215-93FC-A810116DFA0A}" id="{6AD8BAC1-7841-48EB-A9E0-BDAB65266503}">
    <text>The original emission source, not taking into account cross corrections</text>
  </threadedComment>
  <threadedComment ref="V2" dT="2021-11-07T21:49:12.65" personId="{6E62135F-B85A-4215-93FC-A810116DFA0A}" id="{A111AC6A-A6FC-4CB8-9D78-59650BE39D08}">
    <text>The emission source, taking into account cross corrections</text>
  </threadedComment>
  <threadedComment ref="R185" dT="2021-11-08T16:05:02.84" personId="{6DF07E02-1BED-4B90-ACB1-D30CA7C70FCB}" id="{9343A866-7B31-4585-91D4-C8C491D4AB0E}">
    <text>le reste de l'action 189</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 Id="rId4" Type="http://schemas.microsoft.com/office/2017/10/relationships/threadedComment" Target="../threadedComments/threadedComment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F016E-6857-46A5-8FC5-E6FC83514BF0}">
  <sheetPr codeName="Sheet2"/>
  <dimension ref="A1:AH139"/>
  <sheetViews>
    <sheetView showGridLines="0" topLeftCell="B1" zoomScaleNormal="100" workbookViewId="0">
      <pane ySplit="1" topLeftCell="A51" activePane="bottomLeft" state="frozen"/>
      <selection activeCell="B1" sqref="B1"/>
      <selection pane="bottomLeft" activeCell="E41" sqref="E41:E42"/>
    </sheetView>
  </sheetViews>
  <sheetFormatPr baseColWidth="10" defaultColWidth="8.88671875" defaultRowHeight="14.4" outlineLevelCol="1" x14ac:dyDescent="0.3"/>
  <cols>
    <col min="1" max="1" width="7.88671875" hidden="1" customWidth="1"/>
    <col min="2" max="2" width="17.88671875" style="169" customWidth="1"/>
    <col min="3" max="3" width="17.88671875" customWidth="1"/>
    <col min="4" max="4" width="17.88671875" style="244" customWidth="1"/>
    <col min="5" max="5" width="22.5546875" style="245" customWidth="1"/>
    <col min="6" max="6" width="12.109375" hidden="1" customWidth="1"/>
    <col min="7" max="7" width="87.5546875" style="15" customWidth="1"/>
    <col min="8" max="8" width="11.5546875" hidden="1" customWidth="1"/>
    <col min="9" max="9" width="15.109375" customWidth="1"/>
    <col min="10" max="10" width="21.88671875" hidden="1" customWidth="1" outlineLevel="1"/>
    <col min="11" max="11" width="8" hidden="1" customWidth="1" outlineLevel="1"/>
    <col min="12" max="12" width="9.5546875" hidden="1" customWidth="1" outlineLevel="1"/>
    <col min="13" max="13" width="11.109375" hidden="1" customWidth="1" outlineLevel="1"/>
    <col min="14" max="14" width="8.5546875" hidden="1" customWidth="1" outlineLevel="1"/>
    <col min="15" max="15" width="8.44140625" hidden="1" customWidth="1" outlineLevel="1"/>
    <col min="16" max="16" width="15.5546875" hidden="1" customWidth="1" outlineLevel="1"/>
    <col min="17" max="17" width="10.44140625" style="12" hidden="1" customWidth="1" outlineLevel="1"/>
    <col min="18" max="18" width="12.44140625" hidden="1" customWidth="1" outlineLevel="1"/>
    <col min="19" max="19" width="37.109375" customWidth="1" collapsed="1"/>
    <col min="20" max="20" width="7.5546875" customWidth="1"/>
    <col min="21" max="21" width="12.44140625" customWidth="1"/>
    <col min="22" max="22" width="9.5546875" customWidth="1"/>
    <col min="23" max="24" width="13.44140625" style="105" customWidth="1" outlineLevel="1"/>
    <col min="25" max="25" width="4.44140625" customWidth="1" outlineLevel="1"/>
    <col min="26" max="26" width="12.44140625" customWidth="1" outlineLevel="1"/>
    <col min="27" max="27" width="8.88671875" customWidth="1"/>
    <col min="28" max="28" width="7.5546875" hidden="1" customWidth="1"/>
    <col min="29" max="29" width="8.5546875" hidden="1" customWidth="1"/>
    <col min="30" max="31" width="6.5546875" customWidth="1"/>
    <col min="32" max="32" width="6.44140625" customWidth="1"/>
    <col min="33" max="33" width="23.109375" customWidth="1"/>
    <col min="34" max="34" width="28" customWidth="1"/>
  </cols>
  <sheetData>
    <row r="1" spans="1:34" s="306" customFormat="1" ht="43.8" thickBot="1" x14ac:dyDescent="0.35">
      <c r="A1" s="306" t="s">
        <v>0</v>
      </c>
      <c r="B1" s="300" t="s">
        <v>1</v>
      </c>
      <c r="C1" s="306" t="s">
        <v>2</v>
      </c>
      <c r="D1" s="299" t="s">
        <v>3</v>
      </c>
      <c r="E1" s="299" t="s">
        <v>4</v>
      </c>
      <c r="F1" s="306" t="s">
        <v>5</v>
      </c>
      <c r="G1" s="306" t="s">
        <v>6</v>
      </c>
      <c r="H1" s="306" t="s">
        <v>7</v>
      </c>
      <c r="I1" s="306" t="s">
        <v>8</v>
      </c>
      <c r="J1" s="306" t="s">
        <v>9</v>
      </c>
      <c r="K1" s="306" t="s">
        <v>10</v>
      </c>
      <c r="L1" s="306" t="s">
        <v>11</v>
      </c>
      <c r="M1" s="306" t="s">
        <v>12</v>
      </c>
      <c r="N1" s="306" t="s">
        <v>13</v>
      </c>
      <c r="O1" s="306" t="s">
        <v>14</v>
      </c>
      <c r="P1" s="306" t="s">
        <v>15</v>
      </c>
      <c r="Q1" s="301" t="s">
        <v>16</v>
      </c>
      <c r="R1" s="306" t="s">
        <v>17</v>
      </c>
      <c r="S1" s="306" t="s">
        <v>18</v>
      </c>
      <c r="T1" s="306" t="s">
        <v>19</v>
      </c>
      <c r="U1" s="300" t="s">
        <v>20</v>
      </c>
      <c r="V1" s="306" t="s">
        <v>21</v>
      </c>
      <c r="W1" s="307" t="s">
        <v>22</v>
      </c>
      <c r="X1" s="307" t="s">
        <v>23</v>
      </c>
      <c r="Y1" s="306" t="s">
        <v>24</v>
      </c>
      <c r="Z1" s="306" t="s">
        <v>25</v>
      </c>
      <c r="AA1" s="306" t="s">
        <v>26</v>
      </c>
      <c r="AB1" s="306" t="s">
        <v>27</v>
      </c>
      <c r="AC1" s="306" t="s">
        <v>28</v>
      </c>
      <c r="AD1" s="306" t="s">
        <v>29</v>
      </c>
      <c r="AE1" s="306" t="s">
        <v>30</v>
      </c>
      <c r="AG1" s="306" t="s">
        <v>31</v>
      </c>
      <c r="AH1" s="306" t="s">
        <v>32</v>
      </c>
    </row>
    <row r="2" spans="1:34" ht="72" customHeight="1" thickTop="1" x14ac:dyDescent="0.3">
      <c r="A2" t="s">
        <v>33</v>
      </c>
      <c r="B2" s="458" t="s">
        <v>2878</v>
      </c>
      <c r="C2" s="336" t="s">
        <v>35</v>
      </c>
      <c r="D2" s="455" t="s">
        <v>2884</v>
      </c>
      <c r="E2" s="337" t="s">
        <v>2904</v>
      </c>
      <c r="F2" s="336" t="s">
        <v>38</v>
      </c>
      <c r="G2" s="338" t="s">
        <v>39</v>
      </c>
      <c r="H2" s="339"/>
      <c r="I2" s="339" t="s">
        <v>40</v>
      </c>
      <c r="J2" s="339" t="s">
        <v>41</v>
      </c>
      <c r="K2" s="339">
        <v>1</v>
      </c>
      <c r="L2" s="339" t="s">
        <v>42</v>
      </c>
      <c r="M2" s="339" t="s">
        <v>43</v>
      </c>
      <c r="N2" s="339" t="s">
        <v>44</v>
      </c>
      <c r="O2" s="339"/>
      <c r="P2" s="339" t="s">
        <v>45</v>
      </c>
      <c r="Q2" s="339"/>
      <c r="R2" s="339"/>
      <c r="S2" s="340" t="s">
        <v>46</v>
      </c>
      <c r="T2" s="341">
        <v>1</v>
      </c>
      <c r="U2" s="342"/>
      <c r="V2" s="343"/>
      <c r="W2" s="344"/>
      <c r="X2" s="345" cm="1">
        <f t="array" ref="X2">IF(Y2="",W2,_xlfn.XLOOKUP(Y2,#REF!,#REF!,W2,0,-1))</f>
        <v>0</v>
      </c>
      <c r="Y2" s="336"/>
      <c r="Z2" s="336"/>
      <c r="AA2" s="374">
        <f t="shared" ref="AA2:AA53" si="0">(T2-U2)*Z2*W2</f>
        <v>0</v>
      </c>
      <c r="AB2" s="336">
        <f t="shared" ref="AB2:AB50" si="1">(T2-U2)*Z2*X2</f>
        <v>0</v>
      </c>
      <c r="AC2" s="336">
        <f t="shared" ref="AC2:AC39" si="2">X2-AB2</f>
        <v>0</v>
      </c>
      <c r="AD2" s="336"/>
      <c r="AE2" s="346">
        <f>AA2/Sankey_diag!$H$62</f>
        <v>0</v>
      </c>
      <c r="AF2" s="336"/>
      <c r="AG2" s="336"/>
      <c r="AH2" s="347"/>
    </row>
    <row r="3" spans="1:34" ht="33.6" customHeight="1" x14ac:dyDescent="0.3">
      <c r="A3" t="s">
        <v>47</v>
      </c>
      <c r="B3" s="459"/>
      <c r="C3" s="316" t="s">
        <v>35</v>
      </c>
      <c r="D3" s="456"/>
      <c r="E3" s="456" t="s">
        <v>2599</v>
      </c>
      <c r="F3" s="316" t="s">
        <v>49</v>
      </c>
      <c r="G3" s="326" t="s">
        <v>50</v>
      </c>
      <c r="H3" s="330"/>
      <c r="I3" s="330" t="s">
        <v>51</v>
      </c>
      <c r="J3" s="330" t="s">
        <v>52</v>
      </c>
      <c r="K3" s="330">
        <v>1</v>
      </c>
      <c r="L3" s="330" t="s">
        <v>53</v>
      </c>
      <c r="M3" s="330" t="s">
        <v>43</v>
      </c>
      <c r="N3" s="330" t="s">
        <v>43</v>
      </c>
      <c r="O3" s="330"/>
      <c r="P3" s="330" t="s">
        <v>45</v>
      </c>
      <c r="Q3" s="330"/>
      <c r="R3" s="330"/>
      <c r="S3" s="348" t="s">
        <v>54</v>
      </c>
      <c r="T3" s="310">
        <v>1</v>
      </c>
      <c r="U3" s="332">
        <v>0</v>
      </c>
      <c r="V3" s="349"/>
      <c r="W3" s="322"/>
      <c r="X3" s="317" cm="1">
        <f t="array" ref="X3">IF(Y3="",W3,_xlfn.XLOOKUP(Y3,$Y$2:Y2,$AC$2:AC2,W3,0,-1))</f>
        <v>0</v>
      </c>
      <c r="Y3" s="316"/>
      <c r="Z3" s="316"/>
      <c r="AA3" s="375">
        <f t="shared" si="0"/>
        <v>0</v>
      </c>
      <c r="AB3" s="316">
        <f t="shared" si="1"/>
        <v>0</v>
      </c>
      <c r="AC3" s="316">
        <f t="shared" si="2"/>
        <v>0</v>
      </c>
      <c r="AD3" s="316"/>
      <c r="AE3" s="320">
        <f>AA3/Sankey_diag!$H$62</f>
        <v>0</v>
      </c>
      <c r="AF3" s="316"/>
      <c r="AG3" s="316"/>
      <c r="AH3" s="350"/>
    </row>
    <row r="4" spans="1:34" ht="60" customHeight="1" x14ac:dyDescent="0.3">
      <c r="B4" s="459"/>
      <c r="C4" s="316" t="s">
        <v>35</v>
      </c>
      <c r="D4" s="456"/>
      <c r="E4" s="456"/>
      <c r="F4" s="316" t="s">
        <v>55</v>
      </c>
      <c r="G4" s="326" t="s">
        <v>56</v>
      </c>
      <c r="H4" s="330"/>
      <c r="I4" s="330" t="s">
        <v>57</v>
      </c>
      <c r="J4" s="330" t="s">
        <v>52</v>
      </c>
      <c r="K4" s="330"/>
      <c r="L4" s="330" t="s">
        <v>42</v>
      </c>
      <c r="M4" s="330" t="s">
        <v>43</v>
      </c>
      <c r="N4" s="330" t="s">
        <v>44</v>
      </c>
      <c r="O4" s="330"/>
      <c r="P4" s="330" t="s">
        <v>45</v>
      </c>
      <c r="Q4" s="330"/>
      <c r="R4" s="330"/>
      <c r="S4" s="348" t="s">
        <v>58</v>
      </c>
      <c r="T4" s="310"/>
      <c r="U4" s="332"/>
      <c r="V4" s="349"/>
      <c r="W4" s="324"/>
      <c r="X4" s="317" cm="1">
        <f t="array" ref="X4">IF(Y4="",W4,_xlfn.XLOOKUP(Y4,$Y$2:Y3,$AC$2:AC3,W4,0,-1))</f>
        <v>0</v>
      </c>
      <c r="Y4" s="316"/>
      <c r="Z4" s="319">
        <v>0.05</v>
      </c>
      <c r="AA4" s="375">
        <f t="shared" si="0"/>
        <v>0</v>
      </c>
      <c r="AB4" s="316">
        <f t="shared" si="1"/>
        <v>0</v>
      </c>
      <c r="AC4" s="316">
        <f t="shared" si="2"/>
        <v>0</v>
      </c>
      <c r="AD4" s="316"/>
      <c r="AE4" s="320">
        <f>AA4/Sankey_diag!$H$62</f>
        <v>0</v>
      </c>
      <c r="AF4" s="316"/>
      <c r="AG4" s="316" t="s">
        <v>59</v>
      </c>
      <c r="AH4" s="350" t="s">
        <v>60</v>
      </c>
    </row>
    <row r="5" spans="1:34" ht="31.35" customHeight="1" x14ac:dyDescent="0.3">
      <c r="B5" s="459"/>
      <c r="C5" s="316" t="s">
        <v>35</v>
      </c>
      <c r="D5" s="456"/>
      <c r="E5" s="456"/>
      <c r="F5" s="316" t="s">
        <v>61</v>
      </c>
      <c r="G5" s="326" t="s">
        <v>62</v>
      </c>
      <c r="H5" s="330"/>
      <c r="I5" s="330"/>
      <c r="J5" s="331" t="s">
        <v>41</v>
      </c>
      <c r="K5" s="331">
        <v>1</v>
      </c>
      <c r="L5" s="331"/>
      <c r="M5" s="331"/>
      <c r="N5" s="331"/>
      <c r="O5" s="331"/>
      <c r="P5" s="330"/>
      <c r="Q5" s="330"/>
      <c r="R5" s="330"/>
      <c r="S5" s="348" t="s">
        <v>63</v>
      </c>
      <c r="T5" s="311">
        <v>0.75</v>
      </c>
      <c r="U5" s="332"/>
      <c r="V5" s="349"/>
      <c r="W5" s="322">
        <f>Sankey_diag!K55</f>
        <v>233.84</v>
      </c>
      <c r="X5" s="317" cm="1">
        <f t="array" ref="X5">IF(Y5="",W5,_xlfn.XLOOKUP(Y5,$Y$2:Y9,$AC$2:AC9,W5,0,-1))</f>
        <v>233.84</v>
      </c>
      <c r="Y5" s="316"/>
      <c r="Z5" s="319">
        <v>0.2</v>
      </c>
      <c r="AA5" s="375">
        <f>(T5-U5)*Z5*W5</f>
        <v>35.076000000000008</v>
      </c>
      <c r="AB5" s="316">
        <f>(T5-U5)*Z5*X5</f>
        <v>35.076000000000008</v>
      </c>
      <c r="AC5" s="316">
        <f>X5-AB5</f>
        <v>198.76400000000001</v>
      </c>
      <c r="AD5" s="316"/>
      <c r="AE5" s="320">
        <f>AA5/Sankey_diag!$H$62</f>
        <v>9.5440235651854076E-3</v>
      </c>
      <c r="AF5" s="316"/>
      <c r="AG5" s="316"/>
      <c r="AH5" s="350"/>
    </row>
    <row r="6" spans="1:34" ht="28.8" x14ac:dyDescent="0.3">
      <c r="A6" t="s">
        <v>64</v>
      </c>
      <c r="B6" s="459"/>
      <c r="C6" s="316" t="s">
        <v>35</v>
      </c>
      <c r="D6" s="456"/>
      <c r="E6" s="315" t="s">
        <v>65</v>
      </c>
      <c r="F6" s="316" t="s">
        <v>66</v>
      </c>
      <c r="G6" s="326" t="s">
        <v>67</v>
      </c>
      <c r="H6" s="330"/>
      <c r="I6" s="330" t="s">
        <v>68</v>
      </c>
      <c r="J6" s="330" t="s">
        <v>41</v>
      </c>
      <c r="K6" s="330">
        <v>2</v>
      </c>
      <c r="L6" s="330" t="s">
        <v>42</v>
      </c>
      <c r="M6" s="330" t="s">
        <v>43</v>
      </c>
      <c r="N6" s="330" t="s">
        <v>44</v>
      </c>
      <c r="O6" s="330"/>
      <c r="P6" s="330" t="s">
        <v>45</v>
      </c>
      <c r="Q6" s="330"/>
      <c r="R6" s="330"/>
      <c r="S6" s="348" t="s">
        <v>69</v>
      </c>
      <c r="T6" s="311">
        <v>0.75</v>
      </c>
      <c r="U6" s="332"/>
      <c r="V6" s="349"/>
      <c r="W6" s="322"/>
      <c r="X6" s="317" cm="1">
        <f t="array" ref="X6">IF(Y6="",W6,_xlfn.XLOOKUP(Y6,$Y$2:Y4,$AC$2:AC4,W6,0,-1))</f>
        <v>0</v>
      </c>
      <c r="Y6" s="316"/>
      <c r="Z6" s="319">
        <v>1</v>
      </c>
      <c r="AA6" s="375">
        <f t="shared" si="0"/>
        <v>0</v>
      </c>
      <c r="AB6" s="316">
        <f t="shared" si="1"/>
        <v>0</v>
      </c>
      <c r="AC6" s="316">
        <f t="shared" si="2"/>
        <v>0</v>
      </c>
      <c r="AD6" s="316"/>
      <c r="AE6" s="320">
        <f>AA6/Sankey_diag!$H$62</f>
        <v>0</v>
      </c>
      <c r="AF6" s="316"/>
      <c r="AG6" s="316" t="s">
        <v>70</v>
      </c>
      <c r="AH6" s="350" t="s">
        <v>71</v>
      </c>
    </row>
    <row r="7" spans="1:34" ht="43.2" x14ac:dyDescent="0.3">
      <c r="A7" t="s">
        <v>72</v>
      </c>
      <c r="B7" s="459"/>
      <c r="C7" s="316" t="s">
        <v>35</v>
      </c>
      <c r="D7" s="456"/>
      <c r="E7" s="315" t="s">
        <v>2905</v>
      </c>
      <c r="F7" s="316" t="s">
        <v>74</v>
      </c>
      <c r="G7" s="326" t="s">
        <v>74</v>
      </c>
      <c r="H7" s="330"/>
      <c r="I7" s="330" t="s">
        <v>75</v>
      </c>
      <c r="J7" s="330" t="s">
        <v>41</v>
      </c>
      <c r="K7" s="330">
        <v>0</v>
      </c>
      <c r="L7" s="330" t="s">
        <v>53</v>
      </c>
      <c r="M7" s="330" t="s">
        <v>44</v>
      </c>
      <c r="N7" s="330" t="s">
        <v>44</v>
      </c>
      <c r="O7" s="330"/>
      <c r="P7" s="330" t="s">
        <v>45</v>
      </c>
      <c r="Q7" s="330"/>
      <c r="R7" s="330"/>
      <c r="S7" s="348" t="s">
        <v>76</v>
      </c>
      <c r="T7" s="310">
        <v>1</v>
      </c>
      <c r="U7" s="332"/>
      <c r="V7" s="349"/>
      <c r="W7" s="322"/>
      <c r="X7" s="317" cm="1">
        <f t="array" ref="X7">IF(Y7="",W7,_xlfn.XLOOKUP(Y7,$Y$2:Y6,$AC$2:AC6,W7,0,-1))</f>
        <v>0</v>
      </c>
      <c r="Y7" s="316"/>
      <c r="Z7" s="319">
        <v>0.01</v>
      </c>
      <c r="AA7" s="375">
        <f t="shared" si="0"/>
        <v>0</v>
      </c>
      <c r="AB7" s="316">
        <f t="shared" si="1"/>
        <v>0</v>
      </c>
      <c r="AC7" s="316">
        <f t="shared" si="2"/>
        <v>0</v>
      </c>
      <c r="AD7" s="316"/>
      <c r="AE7" s="320">
        <f>AA7/Sankey_diag!$H$62</f>
        <v>0</v>
      </c>
      <c r="AF7" s="316"/>
      <c r="AG7" s="316" t="s">
        <v>77</v>
      </c>
      <c r="AH7" s="350"/>
    </row>
    <row r="8" spans="1:34" ht="28.8" x14ac:dyDescent="0.3">
      <c r="A8" t="s">
        <v>78</v>
      </c>
      <c r="B8" s="459"/>
      <c r="C8" s="316" t="s">
        <v>35</v>
      </c>
      <c r="D8" s="456"/>
      <c r="E8" s="456" t="s">
        <v>79</v>
      </c>
      <c r="F8" s="316" t="s">
        <v>80</v>
      </c>
      <c r="G8" s="326" t="s">
        <v>81</v>
      </c>
      <c r="H8" s="330"/>
      <c r="I8" s="330"/>
      <c r="J8" s="330" t="s">
        <v>41</v>
      </c>
      <c r="K8" s="330">
        <v>0</v>
      </c>
      <c r="L8" s="330" t="s">
        <v>53</v>
      </c>
      <c r="M8" s="330" t="s">
        <v>43</v>
      </c>
      <c r="N8" s="330" t="s">
        <v>44</v>
      </c>
      <c r="O8" s="330"/>
      <c r="P8" s="330" t="s">
        <v>45</v>
      </c>
      <c r="Q8" s="330"/>
      <c r="R8" s="330"/>
      <c r="S8" s="348" t="s">
        <v>82</v>
      </c>
      <c r="T8" s="311">
        <v>0.8</v>
      </c>
      <c r="U8" s="332"/>
      <c r="V8" s="349"/>
      <c r="W8" s="322"/>
      <c r="X8" s="317" cm="1">
        <f t="array" ref="X8">IF(Y8="",W8,_xlfn.XLOOKUP(Y8,$Y$2:Y7,$AC$2:AC7,W8,0,-1))</f>
        <v>0</v>
      </c>
      <c r="Y8" s="316"/>
      <c r="Z8" s="319">
        <v>0.3</v>
      </c>
      <c r="AA8" s="375">
        <f t="shared" si="0"/>
        <v>0</v>
      </c>
      <c r="AB8" s="316">
        <f t="shared" si="1"/>
        <v>0</v>
      </c>
      <c r="AC8" s="316">
        <f t="shared" si="2"/>
        <v>0</v>
      </c>
      <c r="AD8" s="316"/>
      <c r="AE8" s="320">
        <f>AA8/Sankey_diag!$H$62</f>
        <v>0</v>
      </c>
      <c r="AF8" s="316"/>
      <c r="AG8" s="316"/>
      <c r="AH8" s="350"/>
    </row>
    <row r="9" spans="1:34" ht="28.8" x14ac:dyDescent="0.3">
      <c r="A9" t="s">
        <v>83</v>
      </c>
      <c r="B9" s="459"/>
      <c r="C9" s="316" t="s">
        <v>35</v>
      </c>
      <c r="D9" s="456"/>
      <c r="E9" s="456"/>
      <c r="F9" s="316"/>
      <c r="G9" s="326" t="s">
        <v>84</v>
      </c>
      <c r="H9" s="330"/>
      <c r="I9" s="330" t="s">
        <v>85</v>
      </c>
      <c r="J9" s="330" t="s">
        <v>41</v>
      </c>
      <c r="K9" s="330">
        <v>1</v>
      </c>
      <c r="L9" s="330" t="s">
        <v>86</v>
      </c>
      <c r="M9" s="330" t="s">
        <v>44</v>
      </c>
      <c r="N9" s="330" t="s">
        <v>44</v>
      </c>
      <c r="O9" s="330"/>
      <c r="P9" s="330" t="s">
        <v>87</v>
      </c>
      <c r="Q9" s="330"/>
      <c r="R9" s="330"/>
      <c r="S9" s="348" t="s">
        <v>88</v>
      </c>
      <c r="T9" s="310">
        <v>5</v>
      </c>
      <c r="U9" s="332"/>
      <c r="V9" s="349"/>
      <c r="W9" s="322"/>
      <c r="X9" s="317" cm="1">
        <f t="array" ref="X9">IF(Y9="",W9,_xlfn.XLOOKUP(Y9,$Y$2:Y8,$AC$2:AC8,W9,0,-1))</f>
        <v>0</v>
      </c>
      <c r="Y9" s="316"/>
      <c r="Z9" s="316"/>
      <c r="AA9" s="375">
        <f t="shared" si="0"/>
        <v>0</v>
      </c>
      <c r="AB9" s="316">
        <f t="shared" si="1"/>
        <v>0</v>
      </c>
      <c r="AC9" s="316">
        <f t="shared" si="2"/>
        <v>0</v>
      </c>
      <c r="AD9" s="316"/>
      <c r="AE9" s="320">
        <f>AA9/Sankey_diag!$H$62</f>
        <v>0</v>
      </c>
      <c r="AF9" s="316"/>
      <c r="AG9" s="316"/>
      <c r="AH9" s="350"/>
    </row>
    <row r="10" spans="1:34" x14ac:dyDescent="0.3">
      <c r="B10" s="459"/>
      <c r="C10" s="316" t="s">
        <v>35</v>
      </c>
      <c r="D10" s="456"/>
      <c r="E10" s="456"/>
      <c r="F10" s="316"/>
      <c r="G10" s="326" t="s">
        <v>89</v>
      </c>
      <c r="H10" s="330"/>
      <c r="I10" s="330"/>
      <c r="J10" s="330"/>
      <c r="K10" s="330"/>
      <c r="L10" s="330"/>
      <c r="M10" s="330"/>
      <c r="N10" s="330"/>
      <c r="O10" s="330"/>
      <c r="P10" s="330"/>
      <c r="Q10" s="330"/>
      <c r="R10" s="330"/>
      <c r="S10" s="348" t="s">
        <v>90</v>
      </c>
      <c r="T10" s="310">
        <v>5</v>
      </c>
      <c r="U10" s="332"/>
      <c r="V10" s="349"/>
      <c r="W10" s="322"/>
      <c r="X10" s="317"/>
      <c r="Y10" s="316"/>
      <c r="Z10" s="316"/>
      <c r="AA10" s="375">
        <f t="shared" si="0"/>
        <v>0</v>
      </c>
      <c r="AB10" s="316"/>
      <c r="AC10" s="316"/>
      <c r="AD10" s="316"/>
      <c r="AE10" s="320"/>
      <c r="AF10" s="316"/>
      <c r="AG10" s="316"/>
      <c r="AH10" s="350"/>
    </row>
    <row r="11" spans="1:34" ht="28.8" x14ac:dyDescent="0.3">
      <c r="B11" s="459"/>
      <c r="C11" s="316" t="s">
        <v>35</v>
      </c>
      <c r="D11" s="456"/>
      <c r="E11" s="456"/>
      <c r="F11" s="316" t="s">
        <v>91</v>
      </c>
      <c r="G11" s="326" t="s">
        <v>92</v>
      </c>
      <c r="H11" s="330"/>
      <c r="I11" s="330"/>
      <c r="J11" s="330"/>
      <c r="K11" s="330"/>
      <c r="L11" s="330"/>
      <c r="M11" s="330"/>
      <c r="N11" s="330"/>
      <c r="O11" s="330"/>
      <c r="P11" s="330"/>
      <c r="Q11" s="330"/>
      <c r="R11" s="330"/>
      <c r="S11" s="348" t="s">
        <v>93</v>
      </c>
      <c r="T11" s="310">
        <v>1</v>
      </c>
      <c r="U11" s="332"/>
      <c r="V11" s="349"/>
      <c r="W11" s="322"/>
      <c r="X11" s="317"/>
      <c r="Y11" s="316"/>
      <c r="Z11" s="316"/>
      <c r="AA11" s="375">
        <f t="shared" si="0"/>
        <v>0</v>
      </c>
      <c r="AB11" s="316"/>
      <c r="AC11" s="316"/>
      <c r="AD11" s="316"/>
      <c r="AE11" s="320"/>
      <c r="AF11" s="316"/>
      <c r="AG11" s="316"/>
      <c r="AH11" s="350"/>
    </row>
    <row r="12" spans="1:34" ht="43.8" thickBot="1" x14ac:dyDescent="0.35">
      <c r="B12" s="460"/>
      <c r="C12" s="351" t="s">
        <v>35</v>
      </c>
      <c r="D12" s="457"/>
      <c r="E12" s="352" t="s">
        <v>2906</v>
      </c>
      <c r="F12" s="351" t="s">
        <v>94</v>
      </c>
      <c r="G12" s="353" t="s">
        <v>95</v>
      </c>
      <c r="H12" s="354"/>
      <c r="I12" s="354"/>
      <c r="J12" s="355" t="s">
        <v>41</v>
      </c>
      <c r="K12" s="355"/>
      <c r="L12" s="355"/>
      <c r="M12" s="355"/>
      <c r="N12" s="355"/>
      <c r="O12" s="355"/>
      <c r="P12" s="354"/>
      <c r="Q12" s="354"/>
      <c r="R12" s="354"/>
      <c r="S12" s="356" t="s">
        <v>96</v>
      </c>
      <c r="T12" s="357">
        <v>1</v>
      </c>
      <c r="U12" s="358"/>
      <c r="V12" s="359"/>
      <c r="W12" s="360"/>
      <c r="X12" s="361" cm="1">
        <f t="array" ref="X12">IF(Y12="",W12,_xlfn.XLOOKUP(Y12,$Y$2:Y11,$AC$2:AC11,W12,0,-1))</f>
        <v>0</v>
      </c>
      <c r="Y12" s="351"/>
      <c r="Z12" s="351"/>
      <c r="AA12" s="376">
        <f t="shared" si="0"/>
        <v>0</v>
      </c>
      <c r="AB12" s="351">
        <f t="shared" si="1"/>
        <v>0</v>
      </c>
      <c r="AC12" s="351">
        <f t="shared" si="2"/>
        <v>0</v>
      </c>
      <c r="AD12" s="351"/>
      <c r="AE12" s="362">
        <f>AA12/Sankey_diag!$H$62</f>
        <v>0</v>
      </c>
      <c r="AF12" s="351"/>
      <c r="AG12" s="351" t="s">
        <v>97</v>
      </c>
      <c r="AH12" s="363"/>
    </row>
    <row r="13" spans="1:34" ht="15" thickTop="1" x14ac:dyDescent="0.3">
      <c r="A13" t="s">
        <v>98</v>
      </c>
      <c r="B13" s="458" t="s">
        <v>99</v>
      </c>
      <c r="C13" s="336"/>
      <c r="D13" s="455"/>
      <c r="E13" s="455"/>
      <c r="F13" s="336" t="s">
        <v>100</v>
      </c>
      <c r="G13" s="338" t="s">
        <v>100</v>
      </c>
      <c r="H13" s="339"/>
      <c r="I13" s="339" t="s">
        <v>101</v>
      </c>
      <c r="J13" s="339" t="s">
        <v>41</v>
      </c>
      <c r="K13" s="339">
        <v>0</v>
      </c>
      <c r="L13" s="339" t="s">
        <v>86</v>
      </c>
      <c r="M13" s="339" t="s">
        <v>43</v>
      </c>
      <c r="N13" s="339" t="s">
        <v>43</v>
      </c>
      <c r="O13" s="339"/>
      <c r="P13" s="339" t="s">
        <v>45</v>
      </c>
      <c r="Q13" s="339"/>
      <c r="R13" s="339"/>
      <c r="S13" s="340"/>
      <c r="T13" s="364"/>
      <c r="U13" s="342"/>
      <c r="V13" s="343"/>
      <c r="W13" s="344"/>
      <c r="X13" s="345" cm="1">
        <f t="array" ref="X13">IF(Y13="",W13,_xlfn.XLOOKUP(Y13,$Y$2:Y12,$AC$2:AC12,W13,0,-1))</f>
        <v>0</v>
      </c>
      <c r="Y13" s="336"/>
      <c r="Z13" s="336"/>
      <c r="AA13" s="374">
        <f t="shared" si="0"/>
        <v>0</v>
      </c>
      <c r="AB13" s="336">
        <f t="shared" si="1"/>
        <v>0</v>
      </c>
      <c r="AC13" s="336">
        <f t="shared" si="2"/>
        <v>0</v>
      </c>
      <c r="AD13" s="336"/>
      <c r="AE13" s="346">
        <f>AA13/Sankey_diag!$H$62</f>
        <v>0</v>
      </c>
      <c r="AF13" s="336"/>
      <c r="AG13" s="336"/>
      <c r="AH13" s="347"/>
    </row>
    <row r="14" spans="1:34" ht="30.75" customHeight="1" x14ac:dyDescent="0.3">
      <c r="A14" t="s">
        <v>102</v>
      </c>
      <c r="B14" s="459"/>
      <c r="C14" s="316"/>
      <c r="D14" s="456"/>
      <c r="E14" s="456"/>
      <c r="F14" s="316" t="s">
        <v>103</v>
      </c>
      <c r="G14" s="326" t="s">
        <v>104</v>
      </c>
      <c r="H14" s="330"/>
      <c r="I14" s="330" t="s">
        <v>105</v>
      </c>
      <c r="J14" s="330" t="s">
        <v>41</v>
      </c>
      <c r="K14" s="330">
        <v>3</v>
      </c>
      <c r="L14" s="330" t="s">
        <v>86</v>
      </c>
      <c r="M14" s="330" t="s">
        <v>44</v>
      </c>
      <c r="N14" s="330" t="s">
        <v>44</v>
      </c>
      <c r="O14" s="330"/>
      <c r="P14" s="330" t="s">
        <v>106</v>
      </c>
      <c r="Q14" s="330"/>
      <c r="R14" s="330"/>
      <c r="S14" s="348"/>
      <c r="T14" s="312"/>
      <c r="U14" s="332"/>
      <c r="V14" s="349"/>
      <c r="W14" s="322"/>
      <c r="X14" s="317" cm="1">
        <f t="array" ref="X14">IF(Y14="",W14,_xlfn.XLOOKUP(Y14,$Y$2:Y13,$AC$2:AC13,W14,0,-1))</f>
        <v>0</v>
      </c>
      <c r="Y14" s="316"/>
      <c r="Z14" s="316"/>
      <c r="AA14" s="375">
        <f t="shared" si="0"/>
        <v>0</v>
      </c>
      <c r="AB14" s="316">
        <f t="shared" si="1"/>
        <v>0</v>
      </c>
      <c r="AC14" s="316">
        <f t="shared" si="2"/>
        <v>0</v>
      </c>
      <c r="AD14" s="316"/>
      <c r="AE14" s="320">
        <f>AA14/Sankey_diag!$H$62</f>
        <v>0</v>
      </c>
      <c r="AF14" s="316"/>
      <c r="AG14" s="316"/>
      <c r="AH14" s="350"/>
    </row>
    <row r="15" spans="1:34" x14ac:dyDescent="0.3">
      <c r="A15" t="s">
        <v>107</v>
      </c>
      <c r="B15" s="459"/>
      <c r="C15" s="316"/>
      <c r="D15" s="456"/>
      <c r="E15" s="456"/>
      <c r="F15" s="316" t="s">
        <v>108</v>
      </c>
      <c r="G15" s="326" t="s">
        <v>109</v>
      </c>
      <c r="H15" s="330"/>
      <c r="I15" s="330" t="s">
        <v>110</v>
      </c>
      <c r="J15" s="330" t="s">
        <v>41</v>
      </c>
      <c r="K15" s="330">
        <v>1</v>
      </c>
      <c r="L15" s="330" t="s">
        <v>42</v>
      </c>
      <c r="M15" s="330" t="s">
        <v>111</v>
      </c>
      <c r="N15" s="330" t="s">
        <v>44</v>
      </c>
      <c r="O15" s="330"/>
      <c r="P15" s="330" t="s">
        <v>106</v>
      </c>
      <c r="Q15" s="330"/>
      <c r="R15" s="330"/>
      <c r="S15" s="348"/>
      <c r="T15" s="312"/>
      <c r="U15" s="332"/>
      <c r="V15" s="349"/>
      <c r="W15" s="322"/>
      <c r="X15" s="317" cm="1">
        <f t="array" ref="X15">IF(Y15="",W15,_xlfn.XLOOKUP(Y15,$Y$2:Y14,$AC$2:AC14,W15,0,-1))</f>
        <v>0</v>
      </c>
      <c r="Y15" s="316"/>
      <c r="Z15" s="316"/>
      <c r="AA15" s="375">
        <f t="shared" si="0"/>
        <v>0</v>
      </c>
      <c r="AB15" s="316">
        <f t="shared" si="1"/>
        <v>0</v>
      </c>
      <c r="AC15" s="316">
        <f t="shared" si="2"/>
        <v>0</v>
      </c>
      <c r="AD15" s="316"/>
      <c r="AE15" s="320">
        <f>AA15/Sankey_diag!$H$62</f>
        <v>0</v>
      </c>
      <c r="AF15" s="316"/>
      <c r="AG15" s="316"/>
      <c r="AH15" s="350"/>
    </row>
    <row r="16" spans="1:34" ht="28.8" x14ac:dyDescent="0.3">
      <c r="A16" t="s">
        <v>112</v>
      </c>
      <c r="B16" s="459"/>
      <c r="C16" s="316"/>
      <c r="D16" s="456"/>
      <c r="E16" s="456"/>
      <c r="F16" s="316" t="s">
        <v>113</v>
      </c>
      <c r="G16" s="326" t="s">
        <v>114</v>
      </c>
      <c r="H16" s="330"/>
      <c r="I16" s="330"/>
      <c r="J16" s="330" t="s">
        <v>41</v>
      </c>
      <c r="K16" s="330">
        <v>1</v>
      </c>
      <c r="L16" s="330" t="s">
        <v>86</v>
      </c>
      <c r="M16" s="330" t="s">
        <v>43</v>
      </c>
      <c r="N16" s="330" t="s">
        <v>43</v>
      </c>
      <c r="O16" s="330"/>
      <c r="P16" s="330" t="s">
        <v>45</v>
      </c>
      <c r="Q16" s="330"/>
      <c r="R16" s="330"/>
      <c r="S16" s="348"/>
      <c r="T16" s="312"/>
      <c r="U16" s="332"/>
      <c r="V16" s="349"/>
      <c r="W16" s="322"/>
      <c r="X16" s="317" cm="1">
        <f t="array" ref="X16">IF(Y16="",W16,_xlfn.XLOOKUP(Y16,$Y$2:Y15,$AC$2:AC15,W16,0,-1))</f>
        <v>0</v>
      </c>
      <c r="Y16" s="316"/>
      <c r="Z16" s="316"/>
      <c r="AA16" s="375">
        <f t="shared" si="0"/>
        <v>0</v>
      </c>
      <c r="AB16" s="316">
        <f t="shared" si="1"/>
        <v>0</v>
      </c>
      <c r="AC16" s="316">
        <f t="shared" si="2"/>
        <v>0</v>
      </c>
      <c r="AD16" s="316"/>
      <c r="AE16" s="320">
        <f>AA16/Sankey_diag!$H$62</f>
        <v>0</v>
      </c>
      <c r="AF16" s="316"/>
      <c r="AG16" s="316"/>
      <c r="AH16" s="350"/>
    </row>
    <row r="17" spans="1:34" x14ac:dyDescent="0.3">
      <c r="A17" t="s">
        <v>115</v>
      </c>
      <c r="B17" s="459"/>
      <c r="C17" s="316"/>
      <c r="D17" s="456"/>
      <c r="E17" s="456"/>
      <c r="F17" s="316" t="s">
        <v>116</v>
      </c>
      <c r="G17" s="326" t="s">
        <v>117</v>
      </c>
      <c r="H17" s="330"/>
      <c r="I17" s="330" t="s">
        <v>118</v>
      </c>
      <c r="J17" s="330" t="s">
        <v>41</v>
      </c>
      <c r="K17" s="330">
        <v>0</v>
      </c>
      <c r="L17" s="330" t="s">
        <v>53</v>
      </c>
      <c r="M17" s="330" t="s">
        <v>44</v>
      </c>
      <c r="N17" s="330" t="s">
        <v>44</v>
      </c>
      <c r="O17" s="330"/>
      <c r="P17" s="330" t="s">
        <v>119</v>
      </c>
      <c r="Q17" s="330"/>
      <c r="R17" s="330"/>
      <c r="S17" s="348"/>
      <c r="T17" s="312"/>
      <c r="U17" s="332"/>
      <c r="V17" s="349"/>
      <c r="W17" s="322"/>
      <c r="X17" s="317" cm="1">
        <f t="array" ref="X17">IF(Y17="",W17,_xlfn.XLOOKUP(Y17,$Y$2:Y16,$AC$2:AC16,W17,0,-1))</f>
        <v>0</v>
      </c>
      <c r="Y17" s="316"/>
      <c r="Z17" s="316"/>
      <c r="AA17" s="375">
        <f t="shared" si="0"/>
        <v>0</v>
      </c>
      <c r="AB17" s="316">
        <f t="shared" si="1"/>
        <v>0</v>
      </c>
      <c r="AC17" s="316">
        <f t="shared" si="2"/>
        <v>0</v>
      </c>
      <c r="AD17" s="316"/>
      <c r="AE17" s="320">
        <f>AA17/Sankey_diag!$H$62</f>
        <v>0</v>
      </c>
      <c r="AF17" s="316"/>
      <c r="AG17" s="316"/>
      <c r="AH17" s="350"/>
    </row>
    <row r="18" spans="1:34" x14ac:dyDescent="0.3">
      <c r="A18" t="s">
        <v>120</v>
      </c>
      <c r="B18" s="459"/>
      <c r="C18" s="316"/>
      <c r="D18" s="456"/>
      <c r="E18" s="456"/>
      <c r="F18" s="316" t="s">
        <v>121</v>
      </c>
      <c r="G18" s="326" t="s">
        <v>122</v>
      </c>
      <c r="H18" s="330"/>
      <c r="I18" s="330" t="s">
        <v>123</v>
      </c>
      <c r="J18" s="330" t="s">
        <v>41</v>
      </c>
      <c r="K18" s="330">
        <v>1</v>
      </c>
      <c r="L18" s="330" t="s">
        <v>42</v>
      </c>
      <c r="M18" s="330" t="s">
        <v>111</v>
      </c>
      <c r="N18" s="330" t="s">
        <v>44</v>
      </c>
      <c r="O18" s="330" t="s">
        <v>124</v>
      </c>
      <c r="P18" s="330" t="s">
        <v>106</v>
      </c>
      <c r="Q18" s="330"/>
      <c r="R18" s="330"/>
      <c r="S18" s="348" t="s">
        <v>125</v>
      </c>
      <c r="T18" s="312">
        <v>0.75</v>
      </c>
      <c r="U18" s="332">
        <v>0</v>
      </c>
      <c r="V18" s="349"/>
      <c r="W18" s="322">
        <f>Sankey_diag!K36+Sankey_diag!K40</f>
        <v>1416.5927241833051</v>
      </c>
      <c r="X18" s="317" cm="1">
        <f t="array" ref="X18">IF(Y18="",W18,_xlfn.XLOOKUP(Y18,$Y$2:Y17,$AC$2:AC17,W18,0,-1))</f>
        <v>1416.5927241833051</v>
      </c>
      <c r="Y18" s="316"/>
      <c r="Z18" s="319">
        <v>0.56999999999999995</v>
      </c>
      <c r="AA18" s="375">
        <f t="shared" si="0"/>
        <v>605.59338958836292</v>
      </c>
      <c r="AB18" s="316">
        <f t="shared" si="1"/>
        <v>605.59338958836292</v>
      </c>
      <c r="AC18" s="316">
        <f t="shared" si="2"/>
        <v>810.99933459494218</v>
      </c>
      <c r="AD18" s="316"/>
      <c r="AE18" s="320">
        <f>AA18/Sankey_diag!$H$62</f>
        <v>0.16477926733811843</v>
      </c>
      <c r="AF18" s="316"/>
      <c r="AG18" s="316"/>
      <c r="AH18" s="350"/>
    </row>
    <row r="19" spans="1:34" x14ac:dyDescent="0.3">
      <c r="A19" t="s">
        <v>126</v>
      </c>
      <c r="B19" s="459"/>
      <c r="C19" s="316"/>
      <c r="D19" s="456"/>
      <c r="E19" s="456"/>
      <c r="F19" s="316" t="s">
        <v>127</v>
      </c>
      <c r="G19" s="326" t="s">
        <v>128</v>
      </c>
      <c r="H19" s="330"/>
      <c r="I19" s="330" t="s">
        <v>129</v>
      </c>
      <c r="J19" s="330" t="s">
        <v>41</v>
      </c>
      <c r="K19" s="330">
        <v>1</v>
      </c>
      <c r="L19" s="330" t="s">
        <v>42</v>
      </c>
      <c r="M19" s="330" t="s">
        <v>43</v>
      </c>
      <c r="N19" s="330" t="s">
        <v>43</v>
      </c>
      <c r="O19" s="330"/>
      <c r="P19" s="330" t="s">
        <v>119</v>
      </c>
      <c r="Q19" s="330"/>
      <c r="R19" s="330"/>
      <c r="S19" s="348"/>
      <c r="T19" s="312"/>
      <c r="U19" s="332"/>
      <c r="V19" s="349"/>
      <c r="W19" s="322"/>
      <c r="X19" s="317" cm="1">
        <f t="array" ref="X19">IF(Y19="",W19,_xlfn.XLOOKUP(Y19,$Y$2:Y18,$AC$2:AC18,W19,0,-1))</f>
        <v>0</v>
      </c>
      <c r="Y19" s="316"/>
      <c r="Z19" s="316"/>
      <c r="AA19" s="375">
        <f t="shared" si="0"/>
        <v>0</v>
      </c>
      <c r="AB19" s="316">
        <f t="shared" si="1"/>
        <v>0</v>
      </c>
      <c r="AC19" s="316">
        <f t="shared" si="2"/>
        <v>0</v>
      </c>
      <c r="AD19" s="316"/>
      <c r="AE19" s="320">
        <f>AA19/Sankey_diag!$H$62</f>
        <v>0</v>
      </c>
      <c r="AF19" s="316"/>
      <c r="AG19" s="316"/>
      <c r="AH19" s="350"/>
    </row>
    <row r="20" spans="1:34" ht="28.8" x14ac:dyDescent="0.3">
      <c r="A20" t="s">
        <v>130</v>
      </c>
      <c r="B20" s="459"/>
      <c r="C20" s="316"/>
      <c r="D20" s="456"/>
      <c r="E20" s="456"/>
      <c r="F20" s="316" t="s">
        <v>131</v>
      </c>
      <c r="G20" s="326" t="s">
        <v>132</v>
      </c>
      <c r="H20" s="330"/>
      <c r="I20" s="330" t="s">
        <v>133</v>
      </c>
      <c r="J20" s="330" t="s">
        <v>41</v>
      </c>
      <c r="K20" s="330">
        <v>0</v>
      </c>
      <c r="L20" s="330" t="s">
        <v>86</v>
      </c>
      <c r="M20" s="330" t="s">
        <v>43</v>
      </c>
      <c r="N20" s="330" t="s">
        <v>43</v>
      </c>
      <c r="O20" s="330"/>
      <c r="P20" s="330" t="s">
        <v>119</v>
      </c>
      <c r="Q20" s="330"/>
      <c r="R20" s="330"/>
      <c r="S20" s="348"/>
      <c r="T20" s="312">
        <v>0.75</v>
      </c>
      <c r="U20" s="332">
        <v>0</v>
      </c>
      <c r="V20" s="349"/>
      <c r="W20" s="365">
        <v>0</v>
      </c>
      <c r="X20" s="317" cm="1">
        <f t="array" ref="X20">IF(Y20="",W20,_xlfn.XLOOKUP(Y20,$Y$2:Y19,$AC$2:AC19,W20,0,-1))</f>
        <v>0</v>
      </c>
      <c r="Y20" s="316"/>
      <c r="Z20" s="316"/>
      <c r="AA20" s="375">
        <f t="shared" si="0"/>
        <v>0</v>
      </c>
      <c r="AB20" s="316">
        <f t="shared" si="1"/>
        <v>0</v>
      </c>
      <c r="AC20" s="316">
        <f t="shared" si="2"/>
        <v>0</v>
      </c>
      <c r="AD20" s="316"/>
      <c r="AE20" s="320">
        <f>AA20/Sankey_diag!$H$62</f>
        <v>0</v>
      </c>
      <c r="AF20" s="316"/>
      <c r="AG20" s="316"/>
      <c r="AH20" s="350"/>
    </row>
    <row r="21" spans="1:34" x14ac:dyDescent="0.3">
      <c r="A21" t="s">
        <v>134</v>
      </c>
      <c r="B21" s="459"/>
      <c r="C21" s="316"/>
      <c r="D21" s="456"/>
      <c r="E21" s="456"/>
      <c r="F21" s="316" t="s">
        <v>135</v>
      </c>
      <c r="G21" s="326" t="s">
        <v>136</v>
      </c>
      <c r="H21" s="330"/>
      <c r="I21" s="330"/>
      <c r="J21" s="330" t="s">
        <v>41</v>
      </c>
      <c r="K21" s="330">
        <v>0</v>
      </c>
      <c r="L21" s="330" t="s">
        <v>86</v>
      </c>
      <c r="M21" s="330" t="s">
        <v>111</v>
      </c>
      <c r="N21" s="330" t="s">
        <v>43</v>
      </c>
      <c r="O21" s="330"/>
      <c r="P21" s="330" t="s">
        <v>106</v>
      </c>
      <c r="Q21" s="330"/>
      <c r="R21" s="330"/>
      <c r="S21" s="348"/>
      <c r="T21" s="312"/>
      <c r="U21" s="332"/>
      <c r="V21" s="349"/>
      <c r="W21" s="322"/>
      <c r="X21" s="317" cm="1">
        <f t="array" ref="X21">IF(Y21="",W21,_xlfn.XLOOKUP(Y21,$Y$2:Y20,$AC$2:AC20,W21,0,-1))</f>
        <v>0</v>
      </c>
      <c r="Y21" s="316"/>
      <c r="Z21" s="316"/>
      <c r="AA21" s="375">
        <f t="shared" si="0"/>
        <v>0</v>
      </c>
      <c r="AB21" s="316">
        <f t="shared" si="1"/>
        <v>0</v>
      </c>
      <c r="AC21" s="316">
        <f t="shared" si="2"/>
        <v>0</v>
      </c>
      <c r="AD21" s="316"/>
      <c r="AE21" s="320">
        <f>AA21/Sankey_diag!$H$62</f>
        <v>0</v>
      </c>
      <c r="AF21" s="316"/>
      <c r="AG21" s="316"/>
      <c r="AH21" s="350"/>
    </row>
    <row r="22" spans="1:34" ht="29.4" thickBot="1" x14ac:dyDescent="0.35">
      <c r="A22" t="s">
        <v>137</v>
      </c>
      <c r="B22" s="460"/>
      <c r="C22" s="351"/>
      <c r="D22" s="457"/>
      <c r="E22" s="457"/>
      <c r="F22" s="351" t="s">
        <v>138</v>
      </c>
      <c r="G22" s="353" t="s">
        <v>139</v>
      </c>
      <c r="H22" s="354"/>
      <c r="I22" s="354"/>
      <c r="J22" s="354" t="s">
        <v>140</v>
      </c>
      <c r="K22" s="354"/>
      <c r="L22" s="354"/>
      <c r="M22" s="354"/>
      <c r="N22" s="354"/>
      <c r="O22" s="354"/>
      <c r="P22" s="354"/>
      <c r="Q22" s="354"/>
      <c r="R22" s="354"/>
      <c r="S22" s="356"/>
      <c r="T22" s="366">
        <v>1</v>
      </c>
      <c r="U22" s="367">
        <v>0.5</v>
      </c>
      <c r="V22" s="359"/>
      <c r="W22" s="368">
        <f>Sankey_diag!K36+Sankey_diag!K40</f>
        <v>1416.5927241833051</v>
      </c>
      <c r="X22" s="361" cm="1">
        <f t="array" ref="X22">IF(Y22="",W22,_xlfn.XLOOKUP(Y22,$Y$2:Y21,$AC$2:AC21,W22,0,-1))</f>
        <v>1416.5927241833051</v>
      </c>
      <c r="Y22" s="351"/>
      <c r="Z22" s="369">
        <v>0.3</v>
      </c>
      <c r="AA22" s="376">
        <f t="shared" si="0"/>
        <v>212.48890862749576</v>
      </c>
      <c r="AB22" s="351">
        <f t="shared" si="1"/>
        <v>212.48890862749576</v>
      </c>
      <c r="AC22" s="351">
        <f t="shared" si="2"/>
        <v>1204.1038155558094</v>
      </c>
      <c r="AD22" s="351"/>
      <c r="AE22" s="362">
        <f>AA22/Sankey_diag!$H$62</f>
        <v>5.7817286785304706E-2</v>
      </c>
      <c r="AF22" s="351"/>
      <c r="AG22" s="351"/>
      <c r="AH22" s="363"/>
    </row>
    <row r="23" spans="1:34" ht="29.4" thickTop="1" x14ac:dyDescent="0.3">
      <c r="A23" t="s">
        <v>141</v>
      </c>
      <c r="B23" s="458" t="s">
        <v>2877</v>
      </c>
      <c r="C23" s="336" t="s">
        <v>143</v>
      </c>
      <c r="D23" s="455" t="s">
        <v>2883</v>
      </c>
      <c r="E23" s="455" t="s">
        <v>2907</v>
      </c>
      <c r="F23" s="336" t="s">
        <v>144</v>
      </c>
      <c r="G23" s="338" t="s">
        <v>145</v>
      </c>
      <c r="H23" s="339"/>
      <c r="I23" s="339"/>
      <c r="J23" s="339" t="s">
        <v>41</v>
      </c>
      <c r="K23" s="339">
        <v>1</v>
      </c>
      <c r="L23" s="339" t="s">
        <v>53</v>
      </c>
      <c r="M23" s="339" t="s">
        <v>43</v>
      </c>
      <c r="N23" s="339" t="s">
        <v>43</v>
      </c>
      <c r="O23" s="339" t="s">
        <v>146</v>
      </c>
      <c r="P23" s="339" t="s">
        <v>45</v>
      </c>
      <c r="Q23" s="339"/>
      <c r="R23" s="339"/>
      <c r="S23" s="340" t="s">
        <v>147</v>
      </c>
      <c r="T23" s="364">
        <v>0.75</v>
      </c>
      <c r="U23" s="370">
        <v>0.4</v>
      </c>
      <c r="V23" s="343"/>
      <c r="W23" s="344">
        <f>Sankey_diag!N58</f>
        <v>42.621399999999994</v>
      </c>
      <c r="X23" s="345" cm="1">
        <f t="array" ref="X23">IF(Y23="",W23,_xlfn.XLOOKUP(Y23,$Y$2:Y22,$AC$2:AC22,W23,0,-1))</f>
        <v>42.621399999999994</v>
      </c>
      <c r="Y23" s="336">
        <v>13</v>
      </c>
      <c r="Z23" s="371">
        <v>0.3</v>
      </c>
      <c r="AA23" s="374">
        <f t="shared" si="0"/>
        <v>4.4752469999999995</v>
      </c>
      <c r="AB23" s="336">
        <f t="shared" si="1"/>
        <v>4.4752469999999995</v>
      </c>
      <c r="AC23" s="336">
        <f t="shared" si="2"/>
        <v>38.146152999999998</v>
      </c>
      <c r="AD23" s="336"/>
      <c r="AE23" s="346">
        <f>AA23/Sankey_diag!$H$62</f>
        <v>1.2176948006621417E-3</v>
      </c>
      <c r="AF23" s="336"/>
      <c r="AG23" s="336"/>
      <c r="AH23" s="347"/>
    </row>
    <row r="24" spans="1:34" ht="28.8" x14ac:dyDescent="0.3">
      <c r="A24" t="s">
        <v>148</v>
      </c>
      <c r="B24" s="459"/>
      <c r="C24" s="316" t="s">
        <v>143</v>
      </c>
      <c r="D24" s="456"/>
      <c r="E24" s="456"/>
      <c r="F24" s="316" t="s">
        <v>149</v>
      </c>
      <c r="G24" s="326" t="s">
        <v>149</v>
      </c>
      <c r="H24" s="330"/>
      <c r="I24" s="330" t="s">
        <v>150</v>
      </c>
      <c r="J24" s="330" t="s">
        <v>41</v>
      </c>
      <c r="K24" s="330">
        <v>1</v>
      </c>
      <c r="L24" s="330" t="s">
        <v>42</v>
      </c>
      <c r="M24" s="330" t="s">
        <v>43</v>
      </c>
      <c r="N24" s="330" t="s">
        <v>43</v>
      </c>
      <c r="O24" s="330" t="s">
        <v>151</v>
      </c>
      <c r="P24" s="330" t="s">
        <v>87</v>
      </c>
      <c r="Q24" s="330"/>
      <c r="R24" s="330"/>
      <c r="S24" s="348" t="s">
        <v>152</v>
      </c>
      <c r="T24" s="310">
        <v>1</v>
      </c>
      <c r="U24" s="332">
        <v>0</v>
      </c>
      <c r="V24" s="349"/>
      <c r="W24" s="322"/>
      <c r="X24" s="317" cm="1">
        <f t="array" ref="X24">IF(Y24="",W24,_xlfn.XLOOKUP(Y24,$Y$2:Y23,$AC$2:AC23,W24,0,-1))</f>
        <v>0</v>
      </c>
      <c r="Y24" s="316"/>
      <c r="Z24" s="316"/>
      <c r="AA24" s="375">
        <f t="shared" ref="AA24:AA25" si="3">(T24-U24)*Z24*W24</f>
        <v>0</v>
      </c>
      <c r="AB24" s="316">
        <f t="shared" ref="AB24:AB25" si="4">(T24-U24)*Z24*X24</f>
        <v>0</v>
      </c>
      <c r="AC24" s="316">
        <f t="shared" ref="AC24:AC25" si="5">X24-AB24</f>
        <v>0</v>
      </c>
      <c r="AD24" s="316"/>
      <c r="AE24" s="320">
        <f>AA24/Sankey_diag!$H$62</f>
        <v>0</v>
      </c>
      <c r="AF24" s="316"/>
      <c r="AG24" s="316"/>
      <c r="AH24" s="350"/>
    </row>
    <row r="25" spans="1:34" ht="33.6" customHeight="1" x14ac:dyDescent="0.3">
      <c r="A25" t="s">
        <v>153</v>
      </c>
      <c r="B25" s="459"/>
      <c r="C25" s="316" t="s">
        <v>143</v>
      </c>
      <c r="D25" s="456"/>
      <c r="E25" s="456"/>
      <c r="F25" s="316" t="s">
        <v>154</v>
      </c>
      <c r="G25" s="326" t="s">
        <v>155</v>
      </c>
      <c r="H25" s="330"/>
      <c r="I25" s="330"/>
      <c r="J25" s="330" t="s">
        <v>41</v>
      </c>
      <c r="K25" s="330">
        <v>3</v>
      </c>
      <c r="L25" s="330" t="s">
        <v>42</v>
      </c>
      <c r="M25" s="330" t="s">
        <v>44</v>
      </c>
      <c r="N25" s="330" t="s">
        <v>44</v>
      </c>
      <c r="O25" s="330" t="s">
        <v>156</v>
      </c>
      <c r="P25" s="330" t="s">
        <v>157</v>
      </c>
      <c r="Q25" s="330"/>
      <c r="R25" s="330"/>
      <c r="S25" s="348" t="s">
        <v>158</v>
      </c>
      <c r="T25" s="310"/>
      <c r="U25" s="332"/>
      <c r="V25" s="349"/>
      <c r="W25" s="322"/>
      <c r="X25" s="317" cm="1">
        <f t="array" ref="X25">IF(Y25="",W25,_xlfn.XLOOKUP(Y25,$Y$2:Y24,$AC$2:AC24,W25,0,-1))</f>
        <v>0</v>
      </c>
      <c r="Y25" s="316"/>
      <c r="Z25" s="316"/>
      <c r="AA25" s="375">
        <f t="shared" si="3"/>
        <v>0</v>
      </c>
      <c r="AB25" s="316">
        <f t="shared" si="4"/>
        <v>0</v>
      </c>
      <c r="AC25" s="316">
        <f t="shared" si="5"/>
        <v>0</v>
      </c>
      <c r="AD25" s="316"/>
      <c r="AE25" s="320">
        <f>AA25/Sankey_diag!$H$62</f>
        <v>0</v>
      </c>
      <c r="AF25" s="316"/>
      <c r="AG25" s="316"/>
      <c r="AH25" s="350"/>
    </row>
    <row r="26" spans="1:34" ht="28.8" x14ac:dyDescent="0.3">
      <c r="B26" s="459"/>
      <c r="C26" s="316" t="s">
        <v>143</v>
      </c>
      <c r="D26" s="456"/>
      <c r="E26" s="456"/>
      <c r="F26" s="316" t="s">
        <v>159</v>
      </c>
      <c r="G26" s="326" t="s">
        <v>160</v>
      </c>
      <c r="H26" s="330"/>
      <c r="I26" s="330" t="s">
        <v>161</v>
      </c>
      <c r="J26" s="330" t="s">
        <v>52</v>
      </c>
      <c r="K26" s="330"/>
      <c r="L26" s="330" t="s">
        <v>42</v>
      </c>
      <c r="M26" s="330"/>
      <c r="N26" s="330"/>
      <c r="O26" s="330"/>
      <c r="P26" s="330" t="s">
        <v>106</v>
      </c>
      <c r="Q26" s="330"/>
      <c r="R26" s="330"/>
      <c r="S26" s="348" t="s">
        <v>162</v>
      </c>
      <c r="T26" s="311">
        <v>0.75</v>
      </c>
      <c r="U26" s="332"/>
      <c r="V26" s="349"/>
      <c r="W26" s="322"/>
      <c r="X26" s="317"/>
      <c r="Y26" s="316"/>
      <c r="Z26" s="319"/>
      <c r="AA26" s="375"/>
      <c r="AB26" s="316"/>
      <c r="AC26" s="316"/>
      <c r="AD26" s="316"/>
      <c r="AE26" s="320">
        <f>AA26/Sankey_diag!$H$62</f>
        <v>0</v>
      </c>
      <c r="AF26" s="316"/>
      <c r="AG26" s="316" t="s">
        <v>163</v>
      </c>
      <c r="AH26" s="350" t="s">
        <v>164</v>
      </c>
    </row>
    <row r="27" spans="1:34" x14ac:dyDescent="0.3">
      <c r="A27" t="s">
        <v>165</v>
      </c>
      <c r="B27" s="459"/>
      <c r="C27" s="316" t="s">
        <v>143</v>
      </c>
      <c r="D27" s="456"/>
      <c r="E27" s="456"/>
      <c r="F27" s="316" t="s">
        <v>166</v>
      </c>
      <c r="G27" s="326" t="s">
        <v>167</v>
      </c>
      <c r="H27" s="330"/>
      <c r="I27" s="330" t="s">
        <v>168</v>
      </c>
      <c r="J27" s="330" t="s">
        <v>41</v>
      </c>
      <c r="K27" s="330">
        <v>1</v>
      </c>
      <c r="L27" s="330" t="s">
        <v>53</v>
      </c>
      <c r="M27" s="330" t="s">
        <v>44</v>
      </c>
      <c r="N27" s="330" t="s">
        <v>44</v>
      </c>
      <c r="O27" s="330" t="s">
        <v>169</v>
      </c>
      <c r="P27" s="330" t="s">
        <v>45</v>
      </c>
      <c r="Q27" s="330"/>
      <c r="R27" s="330"/>
      <c r="S27" s="348" t="s">
        <v>170</v>
      </c>
      <c r="T27" s="310">
        <v>1</v>
      </c>
      <c r="U27" s="332"/>
      <c r="V27" s="349"/>
      <c r="W27" s="322"/>
      <c r="X27" s="317" cm="1">
        <f t="array" ref="X27">IF(Y27="",W27,_xlfn.XLOOKUP(Y27,$Y$2:Y23,$AC$2:AC23,W27,0,-1))</f>
        <v>0</v>
      </c>
      <c r="Y27" s="316"/>
      <c r="Z27" s="316"/>
      <c r="AA27" s="375">
        <f t="shared" si="0"/>
        <v>0</v>
      </c>
      <c r="AB27" s="316">
        <f t="shared" si="1"/>
        <v>0</v>
      </c>
      <c r="AC27" s="316">
        <f t="shared" si="2"/>
        <v>0</v>
      </c>
      <c r="AD27" s="316"/>
      <c r="AE27" s="320">
        <f>AA27/Sankey_diag!$H$62</f>
        <v>0</v>
      </c>
      <c r="AF27" s="316"/>
      <c r="AG27" s="316"/>
      <c r="AH27" s="350"/>
    </row>
    <row r="28" spans="1:34" ht="28.8" x14ac:dyDescent="0.3">
      <c r="B28" s="459"/>
      <c r="C28" s="316" t="s">
        <v>143</v>
      </c>
      <c r="D28" s="456"/>
      <c r="E28" s="456"/>
      <c r="F28" s="316" t="s">
        <v>171</v>
      </c>
      <c r="G28" s="326" t="s">
        <v>172</v>
      </c>
      <c r="H28" s="330"/>
      <c r="I28" s="330"/>
      <c r="J28" s="330" t="s">
        <v>173</v>
      </c>
      <c r="K28" s="372">
        <v>0.75</v>
      </c>
      <c r="L28" s="372">
        <v>0.5</v>
      </c>
      <c r="M28" s="330"/>
      <c r="N28" s="373">
        <v>357.11655000000002</v>
      </c>
      <c r="O28" s="373"/>
      <c r="P28" s="330"/>
      <c r="Q28" s="372">
        <v>0.3</v>
      </c>
      <c r="R28" s="330">
        <v>26.783741250000002</v>
      </c>
      <c r="S28" s="348" t="s">
        <v>173</v>
      </c>
      <c r="T28" s="311">
        <v>0.75</v>
      </c>
      <c r="U28" s="334">
        <v>0.5</v>
      </c>
      <c r="V28" s="349"/>
      <c r="W28" s="324">
        <f>Sankey_diag!N57</f>
        <v>357.11655000000002</v>
      </c>
      <c r="X28" s="316"/>
      <c r="Y28" s="316"/>
      <c r="Z28" s="319">
        <v>0.3</v>
      </c>
      <c r="AA28" s="375">
        <f t="shared" si="0"/>
        <v>26.783741250000002</v>
      </c>
      <c r="AB28" s="316"/>
      <c r="AC28" s="316"/>
      <c r="AD28" s="316"/>
      <c r="AE28" s="320"/>
      <c r="AF28" s="316"/>
      <c r="AG28" s="316"/>
      <c r="AH28" s="350"/>
    </row>
    <row r="29" spans="1:34" x14ac:dyDescent="0.3">
      <c r="B29" s="459"/>
      <c r="C29" s="316" t="s">
        <v>143</v>
      </c>
      <c r="D29" s="456"/>
      <c r="E29" s="456"/>
      <c r="F29" s="316"/>
      <c r="G29" s="326" t="s">
        <v>174</v>
      </c>
      <c r="H29" s="330"/>
      <c r="I29" s="330"/>
      <c r="J29" s="330"/>
      <c r="K29" s="330"/>
      <c r="L29" s="330"/>
      <c r="M29" s="330"/>
      <c r="N29" s="330"/>
      <c r="O29" s="330"/>
      <c r="P29" s="330"/>
      <c r="Q29" s="330"/>
      <c r="R29" s="330"/>
      <c r="S29" s="348" t="s">
        <v>175</v>
      </c>
      <c r="T29" s="310">
        <v>1</v>
      </c>
      <c r="U29" s="332">
        <v>0</v>
      </c>
      <c r="V29" s="349"/>
      <c r="W29" s="322"/>
      <c r="X29" s="317"/>
      <c r="Y29" s="316"/>
      <c r="Z29" s="316"/>
      <c r="AA29" s="375"/>
      <c r="AB29" s="316"/>
      <c r="AC29" s="316"/>
      <c r="AD29" s="316"/>
      <c r="AE29" s="320"/>
      <c r="AF29" s="316"/>
      <c r="AG29" s="316"/>
      <c r="AH29" s="350"/>
    </row>
    <row r="30" spans="1:34" ht="44.4" customHeight="1" x14ac:dyDescent="0.3">
      <c r="A30" t="s">
        <v>176</v>
      </c>
      <c r="B30" s="459"/>
      <c r="C30" s="316" t="s">
        <v>143</v>
      </c>
      <c r="D30" s="456"/>
      <c r="E30" s="456" t="s">
        <v>2908</v>
      </c>
      <c r="F30" s="316" t="s">
        <v>178</v>
      </c>
      <c r="G30" s="326" t="s">
        <v>179</v>
      </c>
      <c r="H30" s="330"/>
      <c r="I30" s="330"/>
      <c r="J30" s="330" t="s">
        <v>41</v>
      </c>
      <c r="K30" s="330">
        <v>1</v>
      </c>
      <c r="L30" s="330" t="s">
        <v>86</v>
      </c>
      <c r="M30" s="330" t="s">
        <v>43</v>
      </c>
      <c r="N30" s="330" t="s">
        <v>44</v>
      </c>
      <c r="O30" s="330" t="s">
        <v>169</v>
      </c>
      <c r="P30" s="330" t="s">
        <v>45</v>
      </c>
      <c r="Q30" s="330"/>
      <c r="R30" s="330"/>
      <c r="S30" s="348" t="s">
        <v>180</v>
      </c>
      <c r="T30" s="310">
        <v>2</v>
      </c>
      <c r="U30" s="332"/>
      <c r="V30" s="349"/>
      <c r="W30" s="322"/>
      <c r="X30" s="317"/>
      <c r="Y30" s="316"/>
      <c r="Z30" s="319"/>
      <c r="AA30" s="375"/>
      <c r="AB30" s="316"/>
      <c r="AC30" s="316"/>
      <c r="AD30" s="316"/>
      <c r="AE30" s="320"/>
      <c r="AF30" s="316"/>
      <c r="AG30" s="316"/>
      <c r="AH30" s="350"/>
    </row>
    <row r="31" spans="1:34" ht="38.1" customHeight="1" x14ac:dyDescent="0.3">
      <c r="B31" s="459"/>
      <c r="C31" s="316" t="s">
        <v>143</v>
      </c>
      <c r="D31" s="456"/>
      <c r="E31" s="456"/>
      <c r="F31" s="316"/>
      <c r="G31" s="326" t="s">
        <v>181</v>
      </c>
      <c r="H31" s="330"/>
      <c r="I31" s="330" t="s">
        <v>182</v>
      </c>
      <c r="J31" s="330"/>
      <c r="K31" s="330"/>
      <c r="L31" s="330"/>
      <c r="M31" s="330"/>
      <c r="N31" s="330"/>
      <c r="O31" s="330"/>
      <c r="P31" s="330"/>
      <c r="Q31" s="330"/>
      <c r="R31" s="330"/>
      <c r="S31" s="348" t="s">
        <v>183</v>
      </c>
      <c r="T31" s="311">
        <f>5/8</f>
        <v>0.625</v>
      </c>
      <c r="U31" s="333">
        <f>2/4</f>
        <v>0.5</v>
      </c>
      <c r="V31" s="349"/>
      <c r="W31" s="322">
        <f>Sankey_diag!N57</f>
        <v>357.11655000000002</v>
      </c>
      <c r="X31" s="317" cm="1">
        <f t="array" ref="X31">IF(Y31="",W31,_xlfn.XLOOKUP(Y31,$Y$2:Y30,$AC$2:AC30,W31,0,-1))</f>
        <v>357.11655000000002</v>
      </c>
      <c r="Y31" s="316">
        <v>14</v>
      </c>
      <c r="Z31" s="319">
        <f>1-0.5/3.2</f>
        <v>0.84375</v>
      </c>
      <c r="AA31" s="375">
        <f>(T31-U31)*Z31*W31</f>
        <v>37.664636132812504</v>
      </c>
      <c r="AB31" s="316">
        <f>(T31-U31)*Z31*X31</f>
        <v>37.664636132812504</v>
      </c>
      <c r="AC31" s="316">
        <f>X31-AB31</f>
        <v>319.4519138671875</v>
      </c>
      <c r="AD31" s="316"/>
      <c r="AE31" s="320">
        <f>AA31/Sankey_diag!$H$62</f>
        <v>1.0248379941432781E-2</v>
      </c>
      <c r="AF31" s="316"/>
      <c r="AG31" s="316"/>
      <c r="AH31" s="350"/>
    </row>
    <row r="32" spans="1:34" ht="43.2" x14ac:dyDescent="0.3">
      <c r="B32" s="459"/>
      <c r="C32" s="316" t="s">
        <v>143</v>
      </c>
      <c r="D32" s="456"/>
      <c r="E32" s="456"/>
      <c r="F32" s="316"/>
      <c r="G32" s="326" t="s">
        <v>184</v>
      </c>
      <c r="H32" s="330"/>
      <c r="I32" s="330"/>
      <c r="J32" s="330" t="s">
        <v>185</v>
      </c>
      <c r="K32" s="330"/>
      <c r="L32" s="330"/>
      <c r="M32" s="330"/>
      <c r="N32" s="330"/>
      <c r="O32" s="330"/>
      <c r="P32" s="330"/>
      <c r="Q32" s="330"/>
      <c r="R32" s="330"/>
      <c r="S32" s="348" t="s">
        <v>186</v>
      </c>
      <c r="T32" s="311">
        <v>1</v>
      </c>
      <c r="U32" s="333">
        <v>0.3</v>
      </c>
      <c r="V32" s="349"/>
      <c r="W32" s="322">
        <f>Sankey_diag!N58</f>
        <v>42.621399999999994</v>
      </c>
      <c r="X32" s="317"/>
      <c r="Y32" s="316"/>
      <c r="Z32" s="319">
        <f>Z31</f>
        <v>0.84375</v>
      </c>
      <c r="AA32" s="375">
        <f>(T32-U32)*Z32*W32</f>
        <v>25.173264374999995</v>
      </c>
      <c r="AB32" s="316">
        <f>(T32-U32)*Z32*X32</f>
        <v>0</v>
      </c>
      <c r="AC32" s="316"/>
      <c r="AD32" s="316"/>
      <c r="AE32" s="320"/>
      <c r="AF32" s="316"/>
      <c r="AG32" s="316"/>
      <c r="AH32" s="350"/>
    </row>
    <row r="33" spans="1:34" ht="44.1" customHeight="1" x14ac:dyDescent="0.3">
      <c r="A33" t="s">
        <v>187</v>
      </c>
      <c r="B33" s="459"/>
      <c r="C33" s="316" t="s">
        <v>143</v>
      </c>
      <c r="D33" s="456"/>
      <c r="E33" s="456" t="s">
        <v>2909</v>
      </c>
      <c r="F33" s="316" t="s">
        <v>189</v>
      </c>
      <c r="G33" s="326" t="s">
        <v>190</v>
      </c>
      <c r="H33" s="330"/>
      <c r="I33" s="330"/>
      <c r="J33" s="330" t="s">
        <v>41</v>
      </c>
      <c r="K33" s="330">
        <v>1</v>
      </c>
      <c r="L33" s="330" t="s">
        <v>86</v>
      </c>
      <c r="M33" s="330" t="s">
        <v>44</v>
      </c>
      <c r="N33" s="330" t="s">
        <v>44</v>
      </c>
      <c r="O33" s="330" t="s">
        <v>191</v>
      </c>
      <c r="P33" s="330" t="s">
        <v>45</v>
      </c>
      <c r="Q33" s="330"/>
      <c r="R33" s="330"/>
      <c r="S33" s="348"/>
      <c r="T33" s="310"/>
      <c r="U33" s="332"/>
      <c r="V33" s="349"/>
      <c r="W33" s="322"/>
      <c r="X33" s="317" cm="1">
        <f t="array" ref="X33">IF(Y33="",W33,_xlfn.XLOOKUP(Y33,$Y$2:Y31,$AC$2:AC31,W33,0,-1))</f>
        <v>0</v>
      </c>
      <c r="Y33" s="316"/>
      <c r="Z33" s="316"/>
      <c r="AA33" s="375">
        <f t="shared" si="0"/>
        <v>0</v>
      </c>
      <c r="AB33" s="316">
        <f t="shared" si="1"/>
        <v>0</v>
      </c>
      <c r="AC33" s="316">
        <f t="shared" si="2"/>
        <v>0</v>
      </c>
      <c r="AD33" s="316"/>
      <c r="AE33" s="320">
        <f>AA33/Sankey_diag!$H$62</f>
        <v>0</v>
      </c>
      <c r="AF33" s="316"/>
      <c r="AG33" s="316"/>
      <c r="AH33" s="350"/>
    </row>
    <row r="34" spans="1:34" ht="28.8" x14ac:dyDescent="0.3">
      <c r="B34" s="459"/>
      <c r="C34" s="316" t="s">
        <v>143</v>
      </c>
      <c r="D34" s="456"/>
      <c r="E34" s="456"/>
      <c r="F34" s="316"/>
      <c r="G34" s="326" t="s">
        <v>192</v>
      </c>
      <c r="H34" s="330"/>
      <c r="I34" s="330"/>
      <c r="J34" s="330"/>
      <c r="K34" s="330"/>
      <c r="L34" s="330"/>
      <c r="M34" s="330"/>
      <c r="N34" s="330"/>
      <c r="O34" s="330"/>
      <c r="P34" s="330"/>
      <c r="Q34" s="330"/>
      <c r="R34" s="330"/>
      <c r="S34" s="348" t="s">
        <v>193</v>
      </c>
      <c r="T34" s="311">
        <v>0.5</v>
      </c>
      <c r="U34" s="334">
        <v>0</v>
      </c>
      <c r="V34" s="349"/>
      <c r="W34" s="322"/>
      <c r="X34" s="317"/>
      <c r="Y34" s="316"/>
      <c r="Z34" s="316"/>
      <c r="AA34" s="375">
        <f>AA31+AA28</f>
        <v>64.448377382812509</v>
      </c>
      <c r="AB34" s="316"/>
      <c r="AC34" s="316"/>
      <c r="AD34" s="316"/>
      <c r="AE34" s="320"/>
      <c r="AF34" s="316"/>
      <c r="AG34" s="316"/>
      <c r="AH34" s="350"/>
    </row>
    <row r="35" spans="1:34" x14ac:dyDescent="0.3">
      <c r="B35" s="459"/>
      <c r="C35" s="316" t="s">
        <v>143</v>
      </c>
      <c r="D35" s="456"/>
      <c r="E35" s="456"/>
      <c r="F35" s="316"/>
      <c r="G35" s="326" t="s">
        <v>194</v>
      </c>
      <c r="H35" s="330"/>
      <c r="I35" s="330"/>
      <c r="J35" s="330"/>
      <c r="K35" s="330"/>
      <c r="L35" s="330"/>
      <c r="M35" s="330"/>
      <c r="N35" s="330"/>
      <c r="O35" s="330"/>
      <c r="P35" s="330"/>
      <c r="Q35" s="330"/>
      <c r="R35" s="330"/>
      <c r="S35" s="348"/>
      <c r="T35" s="311"/>
      <c r="U35" s="334"/>
      <c r="V35" s="349"/>
      <c r="W35" s="322"/>
      <c r="X35" s="317"/>
      <c r="Y35" s="316"/>
      <c r="Z35" s="316"/>
      <c r="AA35" s="375"/>
      <c r="AB35" s="316"/>
      <c r="AC35" s="316"/>
      <c r="AD35" s="316"/>
      <c r="AE35" s="320"/>
      <c r="AF35" s="316"/>
      <c r="AG35" s="316"/>
      <c r="AH35" s="350"/>
    </row>
    <row r="36" spans="1:34" x14ac:dyDescent="0.3">
      <c r="B36" s="459"/>
      <c r="C36" s="316" t="s">
        <v>143</v>
      </c>
      <c r="D36" s="456"/>
      <c r="E36" s="456" t="s">
        <v>2910</v>
      </c>
      <c r="F36" s="316"/>
      <c r="G36" s="326" t="s">
        <v>196</v>
      </c>
      <c r="H36" s="330"/>
      <c r="I36" s="330"/>
      <c r="J36" s="330"/>
      <c r="K36" s="330"/>
      <c r="L36" s="330"/>
      <c r="M36" s="330"/>
      <c r="N36" s="330"/>
      <c r="O36" s="330"/>
      <c r="P36" s="330"/>
      <c r="Q36" s="330"/>
      <c r="R36" s="330"/>
      <c r="S36" s="348" t="s">
        <v>197</v>
      </c>
      <c r="T36" s="311">
        <v>0.2</v>
      </c>
      <c r="U36" s="334">
        <v>0.1</v>
      </c>
      <c r="V36" s="349"/>
      <c r="W36" s="322">
        <f>Sankey_diag!N57</f>
        <v>357.11655000000002</v>
      </c>
      <c r="X36" s="317"/>
      <c r="Y36" s="316"/>
      <c r="Z36" s="319">
        <v>0.05</v>
      </c>
      <c r="AA36" s="375">
        <f>(T36-U36)*Z36*W36</f>
        <v>1.7855827500000003</v>
      </c>
      <c r="AB36" s="316"/>
      <c r="AC36" s="316"/>
      <c r="AD36" s="316"/>
      <c r="AE36" s="320"/>
      <c r="AF36" s="316"/>
      <c r="AG36" s="316"/>
      <c r="AH36" s="350"/>
    </row>
    <row r="37" spans="1:34" x14ac:dyDescent="0.3">
      <c r="A37" t="s">
        <v>198</v>
      </c>
      <c r="B37" s="459"/>
      <c r="C37" s="316" t="s">
        <v>143</v>
      </c>
      <c r="D37" s="456"/>
      <c r="E37" s="456"/>
      <c r="F37" s="316" t="s">
        <v>199</v>
      </c>
      <c r="G37" s="326" t="s">
        <v>200</v>
      </c>
      <c r="H37" s="330"/>
      <c r="I37" s="330"/>
      <c r="J37" s="330" t="s">
        <v>41</v>
      </c>
      <c r="K37" s="330">
        <v>0</v>
      </c>
      <c r="L37" s="330" t="s">
        <v>86</v>
      </c>
      <c r="M37" s="330" t="s">
        <v>43</v>
      </c>
      <c r="N37" s="330" t="s">
        <v>43</v>
      </c>
      <c r="O37" s="330" t="s">
        <v>201</v>
      </c>
      <c r="P37" s="330" t="s">
        <v>45</v>
      </c>
      <c r="Q37" s="330"/>
      <c r="R37" s="330"/>
      <c r="S37" s="348" t="s">
        <v>202</v>
      </c>
      <c r="T37" s="311">
        <v>0.5</v>
      </c>
      <c r="U37" s="332">
        <v>0</v>
      </c>
      <c r="V37" s="349"/>
      <c r="W37" s="322">
        <f>Sankey_diag!N58</f>
        <v>42.621399999999994</v>
      </c>
      <c r="X37" s="317" cm="1">
        <f t="array" ref="X37">IF(Y37="",W37,_xlfn.XLOOKUP(Y37,$Y$2:Y33,$AC$2:AC33,W37,0,-1))</f>
        <v>42.621399999999994</v>
      </c>
      <c r="Y37" s="316"/>
      <c r="Z37" s="319">
        <v>0.05</v>
      </c>
      <c r="AA37" s="375">
        <f t="shared" si="0"/>
        <v>1.0655349999999999</v>
      </c>
      <c r="AB37" s="316">
        <f t="shared" si="1"/>
        <v>1.0655349999999999</v>
      </c>
      <c r="AC37" s="316">
        <f t="shared" si="2"/>
        <v>41.555864999999997</v>
      </c>
      <c r="AD37" s="316"/>
      <c r="AE37" s="320">
        <f>AA37/Sankey_diag!$H$62</f>
        <v>2.8992733349098612E-4</v>
      </c>
      <c r="AF37" s="316"/>
      <c r="AG37" s="316"/>
      <c r="AH37" s="350"/>
    </row>
    <row r="38" spans="1:34" ht="29.4" thickBot="1" x14ac:dyDescent="0.35">
      <c r="B38" s="460"/>
      <c r="C38" s="351" t="s">
        <v>143</v>
      </c>
      <c r="D38" s="457"/>
      <c r="E38" s="352" t="s">
        <v>203</v>
      </c>
      <c r="F38" s="351" t="s">
        <v>204</v>
      </c>
      <c r="G38" s="353" t="s">
        <v>205</v>
      </c>
      <c r="H38" s="354"/>
      <c r="I38" s="354"/>
      <c r="J38" s="354" t="s">
        <v>41</v>
      </c>
      <c r="K38" s="354"/>
      <c r="L38" s="354" t="s">
        <v>53</v>
      </c>
      <c r="M38" s="354" t="s">
        <v>43</v>
      </c>
      <c r="N38" s="354" t="s">
        <v>44</v>
      </c>
      <c r="O38" s="354"/>
      <c r="P38" s="354" t="s">
        <v>45</v>
      </c>
      <c r="Q38" s="354"/>
      <c r="R38" s="354"/>
      <c r="S38" s="356" t="s">
        <v>206</v>
      </c>
      <c r="T38" s="357">
        <v>0.8</v>
      </c>
      <c r="U38" s="358">
        <v>0</v>
      </c>
      <c r="V38" s="359"/>
      <c r="W38" s="360"/>
      <c r="X38" s="361"/>
      <c r="Y38" s="351"/>
      <c r="Z38" s="369"/>
      <c r="AA38" s="376"/>
      <c r="AB38" s="351"/>
      <c r="AC38" s="351"/>
      <c r="AD38" s="351"/>
      <c r="AE38" s="362"/>
      <c r="AF38" s="351"/>
      <c r="AG38" s="351"/>
      <c r="AH38" s="363"/>
    </row>
    <row r="39" spans="1:34" ht="58.2" thickTop="1" x14ac:dyDescent="0.3">
      <c r="A39" t="s">
        <v>207</v>
      </c>
      <c r="B39" s="458" t="s">
        <v>208</v>
      </c>
      <c r="C39" s="336" t="s">
        <v>209</v>
      </c>
      <c r="D39" s="455" t="s">
        <v>210</v>
      </c>
      <c r="E39" s="337" t="s">
        <v>2892</v>
      </c>
      <c r="F39" s="336" t="s">
        <v>212</v>
      </c>
      <c r="G39" s="338" t="s">
        <v>212</v>
      </c>
      <c r="H39" s="339" t="s">
        <v>213</v>
      </c>
      <c r="I39" s="339" t="s">
        <v>214</v>
      </c>
      <c r="J39" s="339" t="s">
        <v>41</v>
      </c>
      <c r="K39" s="339">
        <v>1</v>
      </c>
      <c r="L39" s="339" t="s">
        <v>43</v>
      </c>
      <c r="M39" s="339" t="s">
        <v>44</v>
      </c>
      <c r="N39" s="339" t="s">
        <v>44</v>
      </c>
      <c r="O39" s="339"/>
      <c r="P39" s="339" t="s">
        <v>45</v>
      </c>
      <c r="Q39" s="339"/>
      <c r="R39" s="339"/>
      <c r="S39" s="340" t="s">
        <v>215</v>
      </c>
      <c r="T39" s="341">
        <v>0.5</v>
      </c>
      <c r="U39" s="370">
        <v>0.1</v>
      </c>
      <c r="V39" s="343"/>
      <c r="W39" s="344">
        <f>SUM(Sankey_diag!N36:N39)*Sankey_diag!P71</f>
        <v>69.405124459165265</v>
      </c>
      <c r="X39" s="345" cm="1">
        <f t="array" ref="X39">IF(Y39="",W39,_xlfn.XLOOKUP(Y39,$Y$2:Y38,$AC$2:AC38,W39,0,-1))</f>
        <v>69.405124459165265</v>
      </c>
      <c r="Y39" s="336"/>
      <c r="Z39" s="377">
        <v>0.3</v>
      </c>
      <c r="AA39" s="374">
        <f t="shared" si="0"/>
        <v>8.3286149350998322</v>
      </c>
      <c r="AB39" s="378">
        <f t="shared" si="1"/>
        <v>8.3286149350998322</v>
      </c>
      <c r="AC39" s="378">
        <f t="shared" si="2"/>
        <v>61.076509524065429</v>
      </c>
      <c r="AD39" s="346">
        <f>AA39/Sankey_diag!$H$29</f>
        <v>5.4625205704474924E-3</v>
      </c>
      <c r="AE39" s="346">
        <f>AA39/Sankey_diag!$H$62</f>
        <v>2.2661790741802918E-3</v>
      </c>
      <c r="AF39" s="379">
        <f>5*AE39</f>
        <v>1.1330895370901459E-2</v>
      </c>
      <c r="AG39" s="336"/>
      <c r="AH39" s="347"/>
    </row>
    <row r="40" spans="1:34" ht="28.8" x14ac:dyDescent="0.3">
      <c r="A40" t="s">
        <v>216</v>
      </c>
      <c r="B40" s="459"/>
      <c r="C40" s="316"/>
      <c r="D40" s="456"/>
      <c r="E40" s="315" t="s">
        <v>2893</v>
      </c>
      <c r="F40" s="316" t="s">
        <v>218</v>
      </c>
      <c r="G40" s="326" t="s">
        <v>219</v>
      </c>
      <c r="H40" s="330" t="s">
        <v>213</v>
      </c>
      <c r="I40" s="330" t="s">
        <v>220</v>
      </c>
      <c r="J40" s="330" t="s">
        <v>41</v>
      </c>
      <c r="K40" s="330">
        <v>0</v>
      </c>
      <c r="L40" s="330" t="s">
        <v>43</v>
      </c>
      <c r="M40" s="330" t="s">
        <v>44</v>
      </c>
      <c r="N40" s="330" t="s">
        <v>44</v>
      </c>
      <c r="O40" s="330"/>
      <c r="P40" s="330" t="s">
        <v>45</v>
      </c>
      <c r="Q40" s="330"/>
      <c r="R40" s="330"/>
      <c r="S40" s="348" t="s">
        <v>221</v>
      </c>
      <c r="T40" s="311">
        <v>0.75</v>
      </c>
      <c r="U40" s="332"/>
      <c r="V40" s="349">
        <v>2022</v>
      </c>
      <c r="W40" s="322"/>
      <c r="X40" s="317" cm="1">
        <f t="array" ref="X40">IF(Y40="",W40,_xlfn.XLOOKUP(Y40,$Y$2:Y39,$AC$2:AC39,W40,0,-1))</f>
        <v>0</v>
      </c>
      <c r="Y40" s="316"/>
      <c r="Z40" s="319">
        <v>0</v>
      </c>
      <c r="AA40" s="375">
        <f t="shared" si="0"/>
        <v>0</v>
      </c>
      <c r="AB40" s="323">
        <f t="shared" si="1"/>
        <v>0</v>
      </c>
      <c r="AC40" s="323">
        <f t="shared" ref="AC40:AC64" si="6">X40-AB40</f>
        <v>0</v>
      </c>
      <c r="AD40" s="320">
        <f>AA40/Sankey_diag!$H$29</f>
        <v>0</v>
      </c>
      <c r="AE40" s="320">
        <f>AA40/Sankey_diag!$H$62</f>
        <v>0</v>
      </c>
      <c r="AF40" s="324">
        <f>5*AE40</f>
        <v>0</v>
      </c>
      <c r="AG40" s="316"/>
      <c r="AH40" s="350"/>
    </row>
    <row r="41" spans="1:34" ht="28.8" x14ac:dyDescent="0.3">
      <c r="A41" t="s">
        <v>222</v>
      </c>
      <c r="B41" s="459"/>
      <c r="C41" s="316" t="s">
        <v>223</v>
      </c>
      <c r="D41" s="456"/>
      <c r="E41" s="456" t="s">
        <v>2894</v>
      </c>
      <c r="F41" s="316" t="s">
        <v>225</v>
      </c>
      <c r="G41" s="326" t="s">
        <v>225</v>
      </c>
      <c r="H41" s="330" t="s">
        <v>226</v>
      </c>
      <c r="I41" s="330" t="s">
        <v>227</v>
      </c>
      <c r="J41" s="330" t="s">
        <v>41</v>
      </c>
      <c r="K41" s="330">
        <v>1</v>
      </c>
      <c r="L41" s="330" t="s">
        <v>111</v>
      </c>
      <c r="M41" s="330" t="s">
        <v>43</v>
      </c>
      <c r="N41" s="330" t="s">
        <v>43</v>
      </c>
      <c r="O41" s="330" t="s">
        <v>228</v>
      </c>
      <c r="P41" s="330" t="s">
        <v>45</v>
      </c>
      <c r="Q41" s="330">
        <v>1</v>
      </c>
      <c r="R41" s="330"/>
      <c r="S41" s="348" t="s">
        <v>229</v>
      </c>
      <c r="T41" s="310">
        <v>4</v>
      </c>
      <c r="U41" s="332">
        <v>1</v>
      </c>
      <c r="V41" s="349">
        <v>2022</v>
      </c>
      <c r="W41" s="322">
        <v>0</v>
      </c>
      <c r="X41" s="317" cm="1">
        <f t="array" ref="X41">IF(Y41="",W41,_xlfn.XLOOKUP(Y41,$Y$2:Y40,$AC$2:AC40,W41,0,-1))</f>
        <v>0</v>
      </c>
      <c r="Y41" s="316"/>
      <c r="Z41" s="319">
        <v>0</v>
      </c>
      <c r="AA41" s="375">
        <f t="shared" si="0"/>
        <v>0</v>
      </c>
      <c r="AB41" s="323">
        <f t="shared" si="1"/>
        <v>0</v>
      </c>
      <c r="AC41" s="323">
        <f t="shared" si="6"/>
        <v>0</v>
      </c>
      <c r="AD41" s="320">
        <f>AA41/Sankey_diag!$H$29</f>
        <v>0</v>
      </c>
      <c r="AE41" s="320">
        <f>AA41/Sankey_diag!$H$62</f>
        <v>0</v>
      </c>
      <c r="AF41" s="320"/>
      <c r="AG41" s="316"/>
      <c r="AH41" s="350"/>
    </row>
    <row r="42" spans="1:34" ht="43.2" x14ac:dyDescent="0.3">
      <c r="A42" t="s">
        <v>230</v>
      </c>
      <c r="B42" s="459"/>
      <c r="C42" s="316" t="s">
        <v>223</v>
      </c>
      <c r="D42" s="456"/>
      <c r="E42" s="456"/>
      <c r="F42" s="316" t="s">
        <v>231</v>
      </c>
      <c r="G42" s="326" t="s">
        <v>231</v>
      </c>
      <c r="H42" s="330" t="s">
        <v>232</v>
      </c>
      <c r="I42" s="330" t="s">
        <v>233</v>
      </c>
      <c r="J42" s="330" t="s">
        <v>52</v>
      </c>
      <c r="K42" s="330"/>
      <c r="L42" s="330" t="s">
        <v>43</v>
      </c>
      <c r="M42" s="330" t="s">
        <v>43</v>
      </c>
      <c r="N42" s="330" t="s">
        <v>44</v>
      </c>
      <c r="O42" s="330"/>
      <c r="P42" s="330" t="s">
        <v>106</v>
      </c>
      <c r="Q42" s="330">
        <v>1</v>
      </c>
      <c r="R42" s="330"/>
      <c r="S42" s="348" t="s">
        <v>234</v>
      </c>
      <c r="T42" s="311">
        <v>0.5</v>
      </c>
      <c r="U42" s="334">
        <v>0.1</v>
      </c>
      <c r="V42" s="349"/>
      <c r="W42" s="322">
        <f>SUM(Sankey_diag!N29:N32,Sankey_diag!N36:N43)</f>
        <v>1469.0847316526442</v>
      </c>
      <c r="X42" s="317" cm="1">
        <f t="array" ref="X42">IF(Y42="",W43,_xlfn.XLOOKUP(Y42,$Y$2:Y41,$AC$2:AC41,W43,0,-1))</f>
        <v>1388.1024891833051</v>
      </c>
      <c r="Y42" s="316">
        <v>5</v>
      </c>
      <c r="Z42" s="319">
        <v>0.03</v>
      </c>
      <c r="AA42" s="375">
        <f>(T42-U42)*Z42*W42</f>
        <v>17.62901677983173</v>
      </c>
      <c r="AB42" s="323">
        <f t="shared" si="1"/>
        <v>16.657229870199661</v>
      </c>
      <c r="AC42" s="323">
        <f>X42-AB42</f>
        <v>1371.4452593131055</v>
      </c>
      <c r="AD42" s="320">
        <f>AA42/Sankey_diag!$H$29</f>
        <v>1.1562410742602129E-2</v>
      </c>
      <c r="AE42" s="320">
        <f>AA42/Sankey_diag!$H$62</f>
        <v>4.7967770434987726E-3</v>
      </c>
      <c r="AF42" s="320"/>
      <c r="AG42" s="316"/>
      <c r="AH42" s="350"/>
    </row>
    <row r="43" spans="1:34" ht="14.4" customHeight="1" x14ac:dyDescent="0.3">
      <c r="A43" t="s">
        <v>235</v>
      </c>
      <c r="B43" s="459"/>
      <c r="C43" s="316" t="s">
        <v>223</v>
      </c>
      <c r="D43" s="456"/>
      <c r="E43" s="456" t="s">
        <v>236</v>
      </c>
      <c r="F43" s="316" t="s">
        <v>237</v>
      </c>
      <c r="G43" s="326" t="s">
        <v>238</v>
      </c>
      <c r="H43" s="330" t="s">
        <v>213</v>
      </c>
      <c r="I43" s="330" t="s">
        <v>239</v>
      </c>
      <c r="J43" s="330" t="s">
        <v>140</v>
      </c>
      <c r="K43" s="330"/>
      <c r="L43" s="330" t="s">
        <v>43</v>
      </c>
      <c r="M43" s="330" t="s">
        <v>111</v>
      </c>
      <c r="N43" s="330" t="s">
        <v>43</v>
      </c>
      <c r="O43" s="330"/>
      <c r="P43" s="330" t="s">
        <v>106</v>
      </c>
      <c r="Q43" s="330">
        <v>1</v>
      </c>
      <c r="R43" s="330"/>
      <c r="S43" s="348" t="s">
        <v>240</v>
      </c>
      <c r="T43" s="311">
        <v>1</v>
      </c>
      <c r="U43" s="334">
        <v>0</v>
      </c>
      <c r="V43" s="349">
        <v>2020</v>
      </c>
      <c r="W43" s="324">
        <f>SUM(Sankey_diag!N36:N39)</f>
        <v>1388.1024891833051</v>
      </c>
      <c r="X43" s="321" cm="1">
        <f t="array" ref="X43">IF(Y43="",W43,_xlfn.XLOOKUP(Y43,$Y$2:Y42,$AC$2:AC42,W43,0,-1))</f>
        <v>1388.1024891833051</v>
      </c>
      <c r="Y43" s="316">
        <v>2</v>
      </c>
      <c r="Z43" s="319">
        <f>2.5%*50%</f>
        <v>1.2500000000000001E-2</v>
      </c>
      <c r="AA43" s="375">
        <f t="shared" si="0"/>
        <v>17.351281114791316</v>
      </c>
      <c r="AB43" s="323">
        <f t="shared" si="1"/>
        <v>17.351281114791316</v>
      </c>
      <c r="AC43" s="323">
        <f t="shared" si="6"/>
        <v>1370.7512080685137</v>
      </c>
      <c r="AD43" s="320">
        <f>AA43/Sankey_diag!$H$29</f>
        <v>1.1380251188432276E-2</v>
      </c>
      <c r="AE43" s="320">
        <f>AA43/Sankey_diag!$H$62</f>
        <v>4.7212064045422742E-3</v>
      </c>
      <c r="AF43" s="324">
        <f>5*AE43</f>
        <v>2.360603202271137E-2</v>
      </c>
      <c r="AG43" s="316"/>
      <c r="AH43" s="350"/>
    </row>
    <row r="44" spans="1:34" x14ac:dyDescent="0.3">
      <c r="A44" t="s">
        <v>241</v>
      </c>
      <c r="B44" s="459"/>
      <c r="C44" s="316" t="s">
        <v>223</v>
      </c>
      <c r="D44" s="456"/>
      <c r="E44" s="456"/>
      <c r="F44" s="316" t="s">
        <v>242</v>
      </c>
      <c r="G44" s="326" t="s">
        <v>243</v>
      </c>
      <c r="H44" s="330" t="s">
        <v>213</v>
      </c>
      <c r="I44" s="330" t="s">
        <v>244</v>
      </c>
      <c r="J44" s="330" t="s">
        <v>41</v>
      </c>
      <c r="K44" s="330">
        <v>0</v>
      </c>
      <c r="L44" s="330"/>
      <c r="M44" s="330"/>
      <c r="N44" s="330"/>
      <c r="O44" s="330" t="s">
        <v>245</v>
      </c>
      <c r="P44" s="330" t="s">
        <v>106</v>
      </c>
      <c r="Q44" s="330">
        <v>1</v>
      </c>
      <c r="R44" s="330"/>
      <c r="S44" s="348" t="s">
        <v>246</v>
      </c>
      <c r="T44" s="311">
        <v>0.3</v>
      </c>
      <c r="U44" s="332">
        <v>0</v>
      </c>
      <c r="V44" s="349"/>
      <c r="W44" s="322">
        <f>SUM(Sankey_diag!N29:N32,Sankey_diag!N36:N43)</f>
        <v>1469.0847316526442</v>
      </c>
      <c r="X44" s="321">
        <f>W44-AA43</f>
        <v>1451.7334505378528</v>
      </c>
      <c r="Y44" s="316">
        <v>2</v>
      </c>
      <c r="Z44" s="319">
        <v>0.39</v>
      </c>
      <c r="AA44" s="375">
        <f t="shared" si="0"/>
        <v>171.88291360335936</v>
      </c>
      <c r="AB44" s="323">
        <f t="shared" si="1"/>
        <v>169.85281371292876</v>
      </c>
      <c r="AC44" s="323">
        <f t="shared" si="6"/>
        <v>1281.8806368249241</v>
      </c>
      <c r="AD44" s="320">
        <f>AA44/Sankey_diag!$H$29</f>
        <v>0.11273350474037076</v>
      </c>
      <c r="AE44" s="320">
        <f>AA44/Sankey_diag!$H$62</f>
        <v>4.6768576174113036E-2</v>
      </c>
      <c r="AF44" s="324">
        <f>5*AE44</f>
        <v>0.23384288087056518</v>
      </c>
      <c r="AG44" s="316"/>
      <c r="AH44" s="350"/>
    </row>
    <row r="45" spans="1:34" ht="28.8" x14ac:dyDescent="0.3">
      <c r="A45" t="s">
        <v>247</v>
      </c>
      <c r="B45" s="459"/>
      <c r="C45" s="316" t="s">
        <v>223</v>
      </c>
      <c r="D45" s="456"/>
      <c r="E45" s="456"/>
      <c r="F45" s="316" t="s">
        <v>248</v>
      </c>
      <c r="G45" s="326" t="s">
        <v>249</v>
      </c>
      <c r="H45" s="330" t="s">
        <v>213</v>
      </c>
      <c r="I45" s="330" t="s">
        <v>250</v>
      </c>
      <c r="J45" s="330" t="s">
        <v>41</v>
      </c>
      <c r="K45" s="330">
        <v>4</v>
      </c>
      <c r="L45" s="330" t="s">
        <v>43</v>
      </c>
      <c r="M45" s="330" t="s">
        <v>111</v>
      </c>
      <c r="N45" s="330" t="s">
        <v>111</v>
      </c>
      <c r="O45" s="330" t="s">
        <v>251</v>
      </c>
      <c r="P45" s="330" t="s">
        <v>45</v>
      </c>
      <c r="Q45" s="330">
        <v>1</v>
      </c>
      <c r="R45" s="330"/>
      <c r="S45" s="348" t="s">
        <v>252</v>
      </c>
      <c r="T45" s="311">
        <v>0.5</v>
      </c>
      <c r="U45" s="332"/>
      <c r="V45" s="349">
        <v>2022</v>
      </c>
      <c r="W45" s="322"/>
      <c r="X45" s="317"/>
      <c r="Y45" s="316"/>
      <c r="Z45" s="319"/>
      <c r="AA45" s="375">
        <f t="shared" si="0"/>
        <v>0</v>
      </c>
      <c r="AB45" s="323">
        <f t="shared" si="1"/>
        <v>0</v>
      </c>
      <c r="AC45" s="323">
        <f t="shared" si="6"/>
        <v>0</v>
      </c>
      <c r="AD45" s="320">
        <f>AA45/Sankey_diag!$H$29</f>
        <v>0</v>
      </c>
      <c r="AE45" s="320">
        <f>AA45/Sankey_diag!$H$62</f>
        <v>0</v>
      </c>
      <c r="AF45" s="324">
        <f>5*AE45</f>
        <v>0</v>
      </c>
      <c r="AG45" s="316"/>
      <c r="AH45" s="350"/>
    </row>
    <row r="46" spans="1:34" ht="28.8" x14ac:dyDescent="0.3">
      <c r="A46" t="s">
        <v>253</v>
      </c>
      <c r="B46" s="459"/>
      <c r="C46" s="316" t="s">
        <v>223</v>
      </c>
      <c r="D46" s="456"/>
      <c r="E46" s="456"/>
      <c r="F46" s="316" t="s">
        <v>254</v>
      </c>
      <c r="G46" s="326" t="s">
        <v>255</v>
      </c>
      <c r="H46" s="330" t="s">
        <v>213</v>
      </c>
      <c r="I46" s="330" t="s">
        <v>256</v>
      </c>
      <c r="J46" s="330" t="s">
        <v>52</v>
      </c>
      <c r="K46" s="330"/>
      <c r="L46" s="330" t="s">
        <v>44</v>
      </c>
      <c r="M46" s="330" t="s">
        <v>111</v>
      </c>
      <c r="N46" s="330" t="s">
        <v>111</v>
      </c>
      <c r="O46" s="330"/>
      <c r="P46" s="330" t="s">
        <v>106</v>
      </c>
      <c r="Q46" s="330">
        <v>1</v>
      </c>
      <c r="R46" s="330"/>
      <c r="S46" s="348" t="s">
        <v>257</v>
      </c>
      <c r="T46" s="311">
        <v>0.3</v>
      </c>
      <c r="U46" s="332">
        <v>0</v>
      </c>
      <c r="V46" s="349"/>
      <c r="W46" s="324">
        <f>(Sankey_diag!K36+Sankey_diag!K40)*90%</f>
        <v>1274.9334517649747</v>
      </c>
      <c r="X46" s="317" cm="1">
        <f t="array" ref="X46">IF(Y46="",W46,_xlfn.XLOOKUP(Y46,$Y$2:Y45,$AC$2:AC45,W46,0,-1))</f>
        <v>1274.9334517649747</v>
      </c>
      <c r="Y46" s="316"/>
      <c r="Z46" s="319">
        <v>0.25</v>
      </c>
      <c r="AA46" s="375">
        <f t="shared" si="0"/>
        <v>95.620008882373099</v>
      </c>
      <c r="AB46" s="323">
        <f t="shared" si="1"/>
        <v>95.620008882373099</v>
      </c>
      <c r="AC46" s="323">
        <f t="shared" si="6"/>
        <v>1179.3134428826015</v>
      </c>
      <c r="AD46" s="320">
        <f>AA46/Sankey_diag!$H$29</f>
        <v>6.2714661385659801E-2</v>
      </c>
      <c r="AE46" s="320">
        <f>AA46/Sankey_diag!$H$62</f>
        <v>2.6017779053387119E-2</v>
      </c>
      <c r="AF46" s="324">
        <f>5*AE46</f>
        <v>0.13008889526693559</v>
      </c>
      <c r="AG46" s="316"/>
      <c r="AH46" s="350"/>
    </row>
    <row r="47" spans="1:34" ht="28.8" x14ac:dyDescent="0.3">
      <c r="A47" t="s">
        <v>258</v>
      </c>
      <c r="B47" s="459"/>
      <c r="C47" s="316" t="s">
        <v>223</v>
      </c>
      <c r="D47" s="456"/>
      <c r="E47" s="456"/>
      <c r="F47" s="316" t="s">
        <v>259</v>
      </c>
      <c r="G47" s="326" t="s">
        <v>259</v>
      </c>
      <c r="H47" s="330" t="s">
        <v>260</v>
      </c>
      <c r="I47" s="330" t="s">
        <v>261</v>
      </c>
      <c r="J47" s="330" t="s">
        <v>52</v>
      </c>
      <c r="K47" s="330"/>
      <c r="L47" s="330" t="s">
        <v>43</v>
      </c>
      <c r="M47" s="330" t="s">
        <v>111</v>
      </c>
      <c r="N47" s="330" t="s">
        <v>111</v>
      </c>
      <c r="O47" s="330"/>
      <c r="P47" s="330" t="s">
        <v>106</v>
      </c>
      <c r="Q47" s="330">
        <v>1</v>
      </c>
      <c r="R47" s="330"/>
      <c r="S47" s="348" t="s">
        <v>262</v>
      </c>
      <c r="T47" s="311">
        <v>1</v>
      </c>
      <c r="U47" s="332">
        <v>0</v>
      </c>
      <c r="V47" s="349"/>
      <c r="W47" s="324">
        <f>Sankey_diag!K40</f>
        <v>28.490234999999998</v>
      </c>
      <c r="X47" s="317" cm="1">
        <f t="array" ref="X47">IF(Y47="",W47,_xlfn.XLOOKUP(Y47,$Y$2:Y46,$AC$2:AC46,W47,0,-1))</f>
        <v>28.490234999999998</v>
      </c>
      <c r="Y47" s="319"/>
      <c r="Z47" s="319">
        <v>0.34</v>
      </c>
      <c r="AA47" s="375">
        <f t="shared" si="0"/>
        <v>9.6866798999999997</v>
      </c>
      <c r="AB47" s="323">
        <f t="shared" si="1"/>
        <v>9.6866798999999997</v>
      </c>
      <c r="AC47" s="323">
        <f t="shared" si="6"/>
        <v>18.803555099999997</v>
      </c>
      <c r="AD47" s="320">
        <f>AA47/Sankey_diag!$H$29</f>
        <v>6.3532398394470857E-3</v>
      </c>
      <c r="AE47" s="320">
        <f>AA47/Sankey_diag!$H$62</f>
        <v>2.6357025098074981E-3</v>
      </c>
      <c r="AF47" s="320"/>
      <c r="AG47" s="316"/>
      <c r="AH47" s="350"/>
    </row>
    <row r="48" spans="1:34" ht="14.4" customHeight="1" x14ac:dyDescent="0.3">
      <c r="A48" t="s">
        <v>263</v>
      </c>
      <c r="B48" s="459"/>
      <c r="C48" s="316" t="s">
        <v>223</v>
      </c>
      <c r="D48" s="456"/>
      <c r="E48" s="456"/>
      <c r="F48" s="316" t="s">
        <v>264</v>
      </c>
      <c r="G48" s="326" t="s">
        <v>264</v>
      </c>
      <c r="H48" s="330" t="s">
        <v>260</v>
      </c>
      <c r="I48" s="330" t="s">
        <v>265</v>
      </c>
      <c r="J48" s="330" t="s">
        <v>52</v>
      </c>
      <c r="K48" s="330"/>
      <c r="L48" s="330" t="s">
        <v>43</v>
      </c>
      <c r="M48" s="330" t="s">
        <v>111</v>
      </c>
      <c r="N48" s="330" t="s">
        <v>111</v>
      </c>
      <c r="O48" s="330"/>
      <c r="P48" s="330" t="s">
        <v>106</v>
      </c>
      <c r="Q48" s="330">
        <v>1</v>
      </c>
      <c r="R48" s="330"/>
      <c r="S48" s="348" t="s">
        <v>266</v>
      </c>
      <c r="T48" s="311">
        <v>1</v>
      </c>
      <c r="U48" s="334">
        <v>0.75</v>
      </c>
      <c r="V48" s="349"/>
      <c r="W48" s="324">
        <f>Sankey_diag!K36+Sankey_diag!K40</f>
        <v>1416.5927241833051</v>
      </c>
      <c r="X48" s="322" cm="1">
        <f t="array" ref="X48">IF(Y48="",W48,_xlfn.XLOOKUP(Y48,$Y$2:Y47,$AC$2:AC47,W48,0,-1))</f>
        <v>1371.4452593131055</v>
      </c>
      <c r="Y48" s="316">
        <v>5</v>
      </c>
      <c r="Z48" s="319">
        <v>0.1</v>
      </c>
      <c r="AA48" s="375">
        <f t="shared" si="0"/>
        <v>35.414818104582629</v>
      </c>
      <c r="AB48" s="323">
        <f t="shared" si="1"/>
        <v>34.286131482827635</v>
      </c>
      <c r="AC48" s="323">
        <f t="shared" si="6"/>
        <v>1337.1591278302778</v>
      </c>
      <c r="AD48" s="320">
        <f>AA48/Sankey_diag!$H$29</f>
        <v>2.3227652365059189E-2</v>
      </c>
      <c r="AE48" s="320">
        <f>AA48/Sankey_diag!$H$62</f>
        <v>9.6362144642174515E-3</v>
      </c>
      <c r="AF48" s="320"/>
      <c r="AG48" s="316"/>
      <c r="AH48" s="350"/>
    </row>
    <row r="49" spans="1:34" ht="12.75" customHeight="1" x14ac:dyDescent="0.3">
      <c r="A49" t="s">
        <v>267</v>
      </c>
      <c r="B49" s="459"/>
      <c r="C49" s="316" t="s">
        <v>268</v>
      </c>
      <c r="D49" s="456"/>
      <c r="E49" s="456"/>
      <c r="F49" s="316" t="s">
        <v>269</v>
      </c>
      <c r="G49" s="326" t="s">
        <v>269</v>
      </c>
      <c r="H49" s="330" t="s">
        <v>260</v>
      </c>
      <c r="I49" s="330" t="s">
        <v>270</v>
      </c>
      <c r="J49" s="330" t="s">
        <v>52</v>
      </c>
      <c r="K49" s="330"/>
      <c r="L49" s="330" t="s">
        <v>43</v>
      </c>
      <c r="M49" s="330" t="s">
        <v>43</v>
      </c>
      <c r="N49" s="330" t="s">
        <v>44</v>
      </c>
      <c r="O49" s="330"/>
      <c r="P49" s="330" t="s">
        <v>106</v>
      </c>
      <c r="Q49" s="330">
        <v>1</v>
      </c>
      <c r="R49" s="330"/>
      <c r="S49" s="348" t="s">
        <v>271</v>
      </c>
      <c r="T49" s="311">
        <v>1</v>
      </c>
      <c r="U49" s="334">
        <v>0.3</v>
      </c>
      <c r="V49" s="349"/>
      <c r="W49" s="324">
        <f>Sankey_diag!K29*40%</f>
        <v>43.236306879767604</v>
      </c>
      <c r="X49" s="317" cm="1">
        <f t="array" ref="X49">IF(Y49="",W49,_xlfn.XLOOKUP(Y49,$Y$2:Y48,$AC$2:AC48,W49,0,-1))</f>
        <v>43.236306879767604</v>
      </c>
      <c r="Y49" s="316"/>
      <c r="Z49" s="380">
        <v>0.5</v>
      </c>
      <c r="AA49" s="375">
        <f t="shared" si="0"/>
        <v>15.132707407918661</v>
      </c>
      <c r="AB49" s="323">
        <f t="shared" si="1"/>
        <v>15.132707407918661</v>
      </c>
      <c r="AC49" s="323">
        <f t="shared" si="6"/>
        <v>28.103599471848945</v>
      </c>
      <c r="AD49" s="320">
        <f>AA49/Sankey_diag!$H$29</f>
        <v>9.9251467556685635E-3</v>
      </c>
      <c r="AE49" s="320">
        <f>AA49/Sankey_diag!$H$62</f>
        <v>4.1175423681785676E-3</v>
      </c>
      <c r="AF49" s="320"/>
      <c r="AG49" s="316"/>
      <c r="AH49" s="350"/>
    </row>
    <row r="50" spans="1:34" x14ac:dyDescent="0.3">
      <c r="A50" t="s">
        <v>272</v>
      </c>
      <c r="B50" s="459"/>
      <c r="C50" s="316" t="s">
        <v>223</v>
      </c>
      <c r="D50" s="456"/>
      <c r="E50" s="456"/>
      <c r="F50" s="316" t="s">
        <v>273</v>
      </c>
      <c r="G50" s="327" t="s">
        <v>274</v>
      </c>
      <c r="H50" s="330"/>
      <c r="I50" s="330"/>
      <c r="J50" s="330" t="s">
        <v>140</v>
      </c>
      <c r="K50" s="330"/>
      <c r="L50" s="330"/>
      <c r="M50" s="330"/>
      <c r="N50" s="330"/>
      <c r="O50" s="330"/>
      <c r="P50" s="330" t="s">
        <v>106</v>
      </c>
      <c r="Q50" s="330">
        <v>1</v>
      </c>
      <c r="R50" s="330"/>
      <c r="S50" s="348" t="s">
        <v>275</v>
      </c>
      <c r="T50" s="310">
        <v>1</v>
      </c>
      <c r="U50" s="332">
        <v>0</v>
      </c>
      <c r="V50" s="349"/>
      <c r="W50" s="322">
        <f>SUM(Sankey_diag!H29)</f>
        <v>1524.683491382724</v>
      </c>
      <c r="X50" s="317"/>
      <c r="Y50" s="316"/>
      <c r="Z50" s="319">
        <v>0.15</v>
      </c>
      <c r="AA50" s="375">
        <f t="shared" si="0"/>
        <v>228.7025237074086</v>
      </c>
      <c r="AB50" s="323">
        <f t="shared" si="1"/>
        <v>0</v>
      </c>
      <c r="AC50" s="323">
        <f t="shared" si="6"/>
        <v>0</v>
      </c>
      <c r="AD50" s="320">
        <f>AA50/Sankey_diag!$H$29</f>
        <v>0.15</v>
      </c>
      <c r="AE50" s="320">
        <f>AA50/Sankey_diag!$H$62</f>
        <v>6.2228939322638885E-2</v>
      </c>
      <c r="AF50" s="320"/>
      <c r="AG50" s="316"/>
      <c r="AH50" s="350"/>
    </row>
    <row r="51" spans="1:34" ht="36" customHeight="1" x14ac:dyDescent="0.3">
      <c r="A51" t="s">
        <v>276</v>
      </c>
      <c r="B51" s="459"/>
      <c r="C51" s="316" t="s">
        <v>223</v>
      </c>
      <c r="D51" s="456"/>
      <c r="E51" s="456" t="s">
        <v>277</v>
      </c>
      <c r="F51" s="316" t="s">
        <v>278</v>
      </c>
      <c r="G51" s="327" t="s">
        <v>279</v>
      </c>
      <c r="H51" s="330" t="s">
        <v>226</v>
      </c>
      <c r="I51" s="330" t="s">
        <v>280</v>
      </c>
      <c r="J51" s="330" t="s">
        <v>41</v>
      </c>
      <c r="K51" s="330">
        <v>0</v>
      </c>
      <c r="L51" s="330" t="s">
        <v>43</v>
      </c>
      <c r="M51" s="330" t="s">
        <v>111</v>
      </c>
      <c r="N51" s="330" t="s">
        <v>43</v>
      </c>
      <c r="O51" s="330" t="s">
        <v>228</v>
      </c>
      <c r="P51" s="330" t="s">
        <v>45</v>
      </c>
      <c r="Q51" s="330">
        <v>1</v>
      </c>
      <c r="R51" s="330"/>
      <c r="S51" s="348" t="s">
        <v>281</v>
      </c>
      <c r="T51" s="310">
        <v>1</v>
      </c>
      <c r="U51" s="332"/>
      <c r="V51" s="349">
        <v>2023</v>
      </c>
      <c r="W51" s="322"/>
      <c r="X51" s="317"/>
      <c r="Y51" s="316">
        <v>3</v>
      </c>
      <c r="Z51" s="319">
        <v>0</v>
      </c>
      <c r="AA51" s="375">
        <f t="shared" si="0"/>
        <v>0</v>
      </c>
      <c r="AB51" s="323">
        <f>(T51-U51)*Z51*X51</f>
        <v>0</v>
      </c>
      <c r="AC51" s="323">
        <f t="shared" si="6"/>
        <v>0</v>
      </c>
      <c r="AD51" s="320">
        <f>AA51/Sankey_diag!$H$29</f>
        <v>0</v>
      </c>
      <c r="AE51" s="320">
        <f>AA51/Sankey_diag!$H$62</f>
        <v>0</v>
      </c>
      <c r="AF51" s="320"/>
      <c r="AG51" s="316"/>
      <c r="AH51" s="350"/>
    </row>
    <row r="52" spans="1:34" ht="39" customHeight="1" x14ac:dyDescent="0.3">
      <c r="A52" t="s">
        <v>282</v>
      </c>
      <c r="B52" s="459"/>
      <c r="C52" s="316" t="s">
        <v>223</v>
      </c>
      <c r="D52" s="456"/>
      <c r="E52" s="456"/>
      <c r="F52" s="316" t="s">
        <v>283</v>
      </c>
      <c r="G52" s="327" t="s">
        <v>284</v>
      </c>
      <c r="H52" s="330" t="s">
        <v>226</v>
      </c>
      <c r="I52" s="330" t="s">
        <v>285</v>
      </c>
      <c r="J52" s="330" t="s">
        <v>41</v>
      </c>
      <c r="K52" s="330">
        <v>4</v>
      </c>
      <c r="L52" s="330"/>
      <c r="M52" s="330"/>
      <c r="N52" s="330"/>
      <c r="O52" s="330" t="s">
        <v>228</v>
      </c>
      <c r="P52" s="330" t="s">
        <v>119</v>
      </c>
      <c r="Q52" s="330">
        <v>1</v>
      </c>
      <c r="R52" s="330"/>
      <c r="S52" s="348" t="s">
        <v>286</v>
      </c>
      <c r="T52" s="311"/>
      <c r="U52" s="332">
        <v>0</v>
      </c>
      <c r="V52" s="349"/>
      <c r="W52" s="322">
        <f>((Sankey_diag!K36)+(Sankey_diag!K40)+(Sankey_diag!K29))</f>
        <v>1524.683491382724</v>
      </c>
      <c r="X52" s="317" cm="1">
        <f t="array" ref="X52">IF(Y52="",W52,_xlfn.XLOOKUP(Y52,$Y$2:Y51,$AC$2:AC51,W52,0,-1))</f>
        <v>0</v>
      </c>
      <c r="Y52" s="316">
        <v>3</v>
      </c>
      <c r="Z52" s="319">
        <v>0</v>
      </c>
      <c r="AA52" s="375">
        <f t="shared" si="0"/>
        <v>0</v>
      </c>
      <c r="AB52" s="323">
        <f>(T52-U52)*Z52*X52</f>
        <v>0</v>
      </c>
      <c r="AC52" s="323">
        <f t="shared" si="6"/>
        <v>0</v>
      </c>
      <c r="AD52" s="320">
        <f>AA52/Sankey_diag!$H$29</f>
        <v>0</v>
      </c>
      <c r="AE52" s="320">
        <f>AA52/Sankey_diag!$H$62</f>
        <v>0</v>
      </c>
      <c r="AF52" s="320"/>
      <c r="AG52" s="316"/>
      <c r="AH52" s="350"/>
    </row>
    <row r="53" spans="1:34" ht="39" customHeight="1" x14ac:dyDescent="0.3">
      <c r="B53" s="459"/>
      <c r="C53" s="316" t="s">
        <v>223</v>
      </c>
      <c r="D53" s="456"/>
      <c r="E53" s="456"/>
      <c r="F53" s="316" t="s">
        <v>287</v>
      </c>
      <c r="G53" s="328" t="s">
        <v>288</v>
      </c>
      <c r="H53" s="330" t="s">
        <v>226</v>
      </c>
      <c r="I53" s="330" t="s">
        <v>289</v>
      </c>
      <c r="J53" s="330" t="s">
        <v>41</v>
      </c>
      <c r="K53" s="330">
        <v>0</v>
      </c>
      <c r="L53" s="330" t="s">
        <v>111</v>
      </c>
      <c r="M53" s="330" t="s">
        <v>43</v>
      </c>
      <c r="N53" s="330" t="s">
        <v>43</v>
      </c>
      <c r="O53" s="330"/>
      <c r="P53" s="330" t="s">
        <v>106</v>
      </c>
      <c r="Q53" s="330">
        <v>1</v>
      </c>
      <c r="R53" s="330"/>
      <c r="S53" s="348" t="s">
        <v>290</v>
      </c>
      <c r="T53" s="311">
        <v>0.7</v>
      </c>
      <c r="U53" s="334">
        <v>0</v>
      </c>
      <c r="V53" s="349">
        <v>2022</v>
      </c>
      <c r="W53" s="381">
        <f>SUM(Sankey_diag!N42,Sankey_diag!N43,Sankey_diag!N49,Sankey_diag!N50,Sankey_diag!N53,Sankey_diag!N54)</f>
        <v>74.142934999999994</v>
      </c>
      <c r="X53" s="317" cm="1">
        <f t="array" ref="X53">IF(Y53="",W53,_xlfn.XLOOKUP(Y53,$Y$2:Y52,$AC$2:AC52,W53,0,-1))</f>
        <v>74.142934999999994</v>
      </c>
      <c r="Y53" s="316"/>
      <c r="Z53" s="319">
        <v>0</v>
      </c>
      <c r="AA53" s="375">
        <f t="shared" si="0"/>
        <v>0</v>
      </c>
      <c r="AB53" s="323">
        <f t="shared" ref="AB53" si="7">(T53-U53)*Z53*X53</f>
        <v>0</v>
      </c>
      <c r="AC53" s="323">
        <f t="shared" ref="AC53" si="8">X53-AB53</f>
        <v>74.142934999999994</v>
      </c>
      <c r="AD53" s="320">
        <f>AA53/Sankey_diag!$H$29</f>
        <v>0</v>
      </c>
      <c r="AE53" s="320">
        <f>AA53/Sankey_diag!$H$62</f>
        <v>0</v>
      </c>
      <c r="AF53" s="320"/>
      <c r="AG53" s="316"/>
      <c r="AH53" s="350"/>
    </row>
    <row r="54" spans="1:34" ht="39" customHeight="1" x14ac:dyDescent="0.3">
      <c r="B54" s="459"/>
      <c r="C54" s="316"/>
      <c r="D54" s="456"/>
      <c r="E54" s="456"/>
      <c r="F54" s="316"/>
      <c r="G54" s="326" t="s">
        <v>291</v>
      </c>
      <c r="H54" s="330" t="s">
        <v>226</v>
      </c>
      <c r="I54" s="330" t="s">
        <v>292</v>
      </c>
      <c r="J54" s="330" t="s">
        <v>41</v>
      </c>
      <c r="K54" s="330">
        <v>2</v>
      </c>
      <c r="L54" s="330" t="s">
        <v>86</v>
      </c>
      <c r="M54" s="330" t="s">
        <v>43</v>
      </c>
      <c r="N54" s="330" t="s">
        <v>43</v>
      </c>
      <c r="O54" s="330" t="s">
        <v>228</v>
      </c>
      <c r="P54" s="330" t="s">
        <v>119</v>
      </c>
      <c r="Q54" s="330"/>
      <c r="R54" s="330"/>
      <c r="S54" s="348" t="s">
        <v>293</v>
      </c>
      <c r="T54" s="313">
        <v>1</v>
      </c>
      <c r="U54" s="335">
        <v>0</v>
      </c>
      <c r="V54" s="349">
        <v>2022</v>
      </c>
      <c r="W54" s="381"/>
      <c r="X54" s="317"/>
      <c r="Y54" s="316"/>
      <c r="Z54" s="319"/>
      <c r="AA54" s="375"/>
      <c r="AB54" s="323"/>
      <c r="AC54" s="323"/>
      <c r="AD54" s="320"/>
      <c r="AE54" s="320"/>
      <c r="AF54" s="320"/>
      <c r="AG54" s="316"/>
      <c r="AH54" s="350"/>
    </row>
    <row r="55" spans="1:34" x14ac:dyDescent="0.3">
      <c r="A55" t="s">
        <v>294</v>
      </c>
      <c r="B55" s="459"/>
      <c r="C55" s="316" t="s">
        <v>223</v>
      </c>
      <c r="D55" s="456"/>
      <c r="E55" s="456" t="s">
        <v>2895</v>
      </c>
      <c r="F55" s="316" t="s">
        <v>296</v>
      </c>
      <c r="G55" s="326" t="s">
        <v>297</v>
      </c>
      <c r="H55" s="330" t="s">
        <v>226</v>
      </c>
      <c r="I55" s="330" t="s">
        <v>298</v>
      </c>
      <c r="J55" s="330" t="s">
        <v>41</v>
      </c>
      <c r="K55" s="330">
        <v>4</v>
      </c>
      <c r="L55" s="330" t="s">
        <v>43</v>
      </c>
      <c r="M55" s="330" t="s">
        <v>43</v>
      </c>
      <c r="N55" s="330" t="s">
        <v>43</v>
      </c>
      <c r="O55" s="330" t="str">
        <f>'Etat de lieu - AFOM'!H28</f>
        <v>4.A.1</v>
      </c>
      <c r="P55" s="330" t="s">
        <v>45</v>
      </c>
      <c r="Q55" s="330">
        <v>1</v>
      </c>
      <c r="R55" s="330"/>
      <c r="S55" s="348" t="s">
        <v>299</v>
      </c>
      <c r="T55" s="311">
        <v>1</v>
      </c>
      <c r="U55" s="334">
        <v>0</v>
      </c>
      <c r="V55" s="349" t="s">
        <v>300</v>
      </c>
      <c r="W55" s="324">
        <f>SUM(Sankey_diag!N31,Sankey_diag!N38,Sankey_diag!N42)</f>
        <v>551.01667214707652</v>
      </c>
      <c r="X55" s="324">
        <f>W55</f>
        <v>551.01667214707652</v>
      </c>
      <c r="Y55" s="316">
        <v>1</v>
      </c>
      <c r="Z55" s="382">
        <v>0.01</v>
      </c>
      <c r="AA55" s="375">
        <f t="shared" ref="AA55" si="9">(T55-U55)*Z55*W55</f>
        <v>5.5101667214707657</v>
      </c>
      <c r="AB55" s="323">
        <f>(T55-U55)*Z55*X55</f>
        <v>5.5101667214707657</v>
      </c>
      <c r="AC55" s="323">
        <f t="shared" si="6"/>
        <v>545.50650542560572</v>
      </c>
      <c r="AD55" s="320">
        <f>AA55/Sankey_diag!$H$29</f>
        <v>3.6139741478237145E-3</v>
      </c>
      <c r="AE55" s="320">
        <f>AA55/Sankey_diag!$H$62</f>
        <v>1.4992918530567167E-3</v>
      </c>
      <c r="AF55" s="320"/>
      <c r="AG55" s="316"/>
      <c r="AH55" s="350"/>
    </row>
    <row r="56" spans="1:34" ht="34.35" customHeight="1" x14ac:dyDescent="0.3">
      <c r="A56" t="s">
        <v>301</v>
      </c>
      <c r="B56" s="459"/>
      <c r="C56" s="316" t="s">
        <v>223</v>
      </c>
      <c r="D56" s="456"/>
      <c r="E56" s="456"/>
      <c r="F56" s="316" t="s">
        <v>302</v>
      </c>
      <c r="G56" s="326" t="s">
        <v>303</v>
      </c>
      <c r="H56" s="330" t="s">
        <v>226</v>
      </c>
      <c r="I56" s="330" t="s">
        <v>304</v>
      </c>
      <c r="J56" s="330" t="s">
        <v>41</v>
      </c>
      <c r="K56" s="330">
        <v>0</v>
      </c>
      <c r="L56" s="330" t="s">
        <v>111</v>
      </c>
      <c r="M56" s="330" t="s">
        <v>44</v>
      </c>
      <c r="N56" s="330" t="s">
        <v>44</v>
      </c>
      <c r="O56" s="383" t="s">
        <v>305</v>
      </c>
      <c r="P56" s="330" t="s">
        <v>45</v>
      </c>
      <c r="Q56" s="330">
        <v>1</v>
      </c>
      <c r="R56" s="330"/>
      <c r="S56" s="348" t="s">
        <v>306</v>
      </c>
      <c r="T56" s="310">
        <v>2</v>
      </c>
      <c r="U56" s="332">
        <v>0</v>
      </c>
      <c r="V56" s="349">
        <v>2022</v>
      </c>
      <c r="W56" s="324">
        <f>SUM(Sankey_diag!N31,Sankey_diag!N38,Sankey_diag!N42)</f>
        <v>551.01667214707652</v>
      </c>
      <c r="X56" s="324" cm="1">
        <f t="array" ref="X56">IF(Y56="",W56,_xlfn.XLOOKUP(Y56,$Y$2:Y55,$AC$2:AC55,W56,0,-1))</f>
        <v>545.50650542560572</v>
      </c>
      <c r="Y56" s="316">
        <v>1</v>
      </c>
      <c r="Z56" s="319">
        <v>0</v>
      </c>
      <c r="AA56" s="375">
        <f>Z56*W56</f>
        <v>0</v>
      </c>
      <c r="AB56" s="323">
        <f>Z56*X56</f>
        <v>0</v>
      </c>
      <c r="AC56" s="323">
        <f t="shared" si="6"/>
        <v>545.50650542560572</v>
      </c>
      <c r="AD56" s="320">
        <f>AA56/Sankey_diag!$H$29</f>
        <v>0</v>
      </c>
      <c r="AE56" s="320">
        <f>AA56/Sankey_diag!$H$62</f>
        <v>0</v>
      </c>
      <c r="AF56" s="320"/>
      <c r="AG56" s="316"/>
      <c r="AH56" s="350"/>
    </row>
    <row r="57" spans="1:34" ht="39" customHeight="1" x14ac:dyDescent="0.3">
      <c r="A57" t="s">
        <v>307</v>
      </c>
      <c r="B57" s="459"/>
      <c r="C57" s="316" t="s">
        <v>223</v>
      </c>
      <c r="D57" s="456"/>
      <c r="E57" s="456"/>
      <c r="F57" s="316" t="s">
        <v>308</v>
      </c>
      <c r="G57" s="326" t="s">
        <v>309</v>
      </c>
      <c r="H57" s="330" t="s">
        <v>226</v>
      </c>
      <c r="I57" s="330" t="s">
        <v>310</v>
      </c>
      <c r="J57" s="330" t="s">
        <v>311</v>
      </c>
      <c r="K57" s="330"/>
      <c r="L57" s="330" t="s">
        <v>43</v>
      </c>
      <c r="M57" s="330" t="s">
        <v>44</v>
      </c>
      <c r="N57" s="330" t="s">
        <v>44</v>
      </c>
      <c r="O57" s="330"/>
      <c r="P57" s="330" t="s">
        <v>45</v>
      </c>
      <c r="Q57" s="330">
        <v>1</v>
      </c>
      <c r="R57" s="330"/>
      <c r="S57" s="348" t="s">
        <v>312</v>
      </c>
      <c r="T57" s="311">
        <v>1</v>
      </c>
      <c r="U57" s="332">
        <v>0</v>
      </c>
      <c r="V57" s="349"/>
      <c r="W57" s="322">
        <f>Sankey_diag!N38*Sankey_diag!P70</f>
        <v>456.12538306497453</v>
      </c>
      <c r="X57" s="317" cm="1">
        <f t="array" ref="X57">IF(Y57="",W57,_xlfn.XLOOKUP(Y57,$Y$2:Y56,$AC$2:AC56,W57,0,-1))</f>
        <v>545.50650542560572</v>
      </c>
      <c r="Y57" s="316">
        <v>1</v>
      </c>
      <c r="Z57" s="319">
        <v>0.01</v>
      </c>
      <c r="AA57" s="375">
        <f>(T57-U57)*Z57*W57</f>
        <v>4.5612538306497452</v>
      </c>
      <c r="AB57" s="323">
        <f>(T57-U57)*Z57*X57</f>
        <v>5.4550650542560577</v>
      </c>
      <c r="AC57" s="323">
        <f t="shared" si="6"/>
        <v>540.05144037134971</v>
      </c>
      <c r="AD57" s="320">
        <f>AA57/Sankey_diag!$H$29</f>
        <v>2.9916070164261949E-3</v>
      </c>
      <c r="AE57" s="320">
        <f>AA57/Sankey_diag!$H$62</f>
        <v>1.2410968766824429E-3</v>
      </c>
      <c r="AF57" s="320"/>
      <c r="AG57" s="316"/>
      <c r="AH57" s="350"/>
    </row>
    <row r="58" spans="1:34" ht="43.2" x14ac:dyDescent="0.3">
      <c r="A58" t="s">
        <v>313</v>
      </c>
      <c r="B58" s="459"/>
      <c r="C58" s="316" t="s">
        <v>268</v>
      </c>
      <c r="D58" s="456"/>
      <c r="E58" s="456" t="s">
        <v>2891</v>
      </c>
      <c r="F58" s="316" t="s">
        <v>314</v>
      </c>
      <c r="G58" s="326" t="s">
        <v>315</v>
      </c>
      <c r="H58" s="330" t="s">
        <v>316</v>
      </c>
      <c r="I58" s="330"/>
      <c r="J58" s="330" t="s">
        <v>52</v>
      </c>
      <c r="K58" s="330"/>
      <c r="L58" s="330" t="s">
        <v>111</v>
      </c>
      <c r="M58" s="330" t="s">
        <v>43</v>
      </c>
      <c r="N58" s="330" t="s">
        <v>43</v>
      </c>
      <c r="O58" s="330" t="s">
        <v>124</v>
      </c>
      <c r="P58" s="330" t="s">
        <v>106</v>
      </c>
      <c r="Q58" s="330">
        <v>1</v>
      </c>
      <c r="R58" s="330"/>
      <c r="S58" s="348" t="s">
        <v>317</v>
      </c>
      <c r="T58" s="311">
        <v>0.3</v>
      </c>
      <c r="U58" s="334">
        <v>0.12</v>
      </c>
      <c r="V58" s="349">
        <v>2022</v>
      </c>
      <c r="W58" s="324"/>
      <c r="X58" s="317" cm="1">
        <f t="array" ref="X58">IF(Y58="",W58,_xlfn.XLOOKUP(Y58,$Y$2:Y57,$AC$2:AC57,W58,0,-1))</f>
        <v>0</v>
      </c>
      <c r="Y58" s="316"/>
      <c r="Z58" s="319"/>
      <c r="AA58" s="375">
        <f>(T58-U58)*Z58*W58</f>
        <v>0</v>
      </c>
      <c r="AB58" s="323">
        <f>(T58-U58)*Z58*X58</f>
        <v>0</v>
      </c>
      <c r="AC58" s="323">
        <f t="shared" si="6"/>
        <v>0</v>
      </c>
      <c r="AD58" s="320">
        <f>AA58/Sankey_diag!$H$29</f>
        <v>0</v>
      </c>
      <c r="AE58" s="320">
        <f>AA58/Sankey_diag!$H$62</f>
        <v>0</v>
      </c>
      <c r="AF58" s="320"/>
      <c r="AG58" s="316"/>
      <c r="AH58" s="350"/>
    </row>
    <row r="59" spans="1:34" ht="14.4" customHeight="1" x14ac:dyDescent="0.3">
      <c r="A59" t="s">
        <v>318</v>
      </c>
      <c r="B59" s="459"/>
      <c r="C59" s="316" t="s">
        <v>209</v>
      </c>
      <c r="D59" s="456"/>
      <c r="E59" s="456"/>
      <c r="F59" s="316" t="s">
        <v>319</v>
      </c>
      <c r="G59" s="326" t="s">
        <v>320</v>
      </c>
      <c r="H59" s="330"/>
      <c r="I59" s="330" t="s">
        <v>321</v>
      </c>
      <c r="J59" s="330" t="s">
        <v>140</v>
      </c>
      <c r="K59" s="330"/>
      <c r="L59" s="330" t="s">
        <v>44</v>
      </c>
      <c r="M59" s="330" t="s">
        <v>111</v>
      </c>
      <c r="N59" s="330" t="s">
        <v>44</v>
      </c>
      <c r="O59" s="330"/>
      <c r="P59" s="330" t="s">
        <v>87</v>
      </c>
      <c r="Q59" s="330">
        <v>1</v>
      </c>
      <c r="R59" s="330"/>
      <c r="S59" s="348"/>
      <c r="T59" s="311">
        <v>0.25</v>
      </c>
      <c r="U59" s="332">
        <v>0</v>
      </c>
      <c r="V59" s="349"/>
      <c r="W59" s="322">
        <f>Sankey_diag!K36*5%</f>
        <v>69.405124459165265</v>
      </c>
      <c r="X59" s="317" cm="1">
        <f t="array" ref="X59">IF(Y59="",W59,_xlfn.XLOOKUP(Y59,$Y$2:Y64,$AC$2:AC64,W59,0,-1))</f>
        <v>69.405124459165265</v>
      </c>
      <c r="Y59" s="316"/>
      <c r="Z59" s="316"/>
      <c r="AA59" s="375">
        <f>(T59-U59)*Z59*W59</f>
        <v>0</v>
      </c>
      <c r="AB59" s="384">
        <f>(T59-U59)*Z59*X59</f>
        <v>0</v>
      </c>
      <c r="AC59" s="316">
        <f>X59-AB59</f>
        <v>69.405124459165265</v>
      </c>
      <c r="AD59" s="316"/>
      <c r="AE59" s="320">
        <f>AA59/Sankey_diag!$H$62</f>
        <v>0</v>
      </c>
      <c r="AF59" s="316"/>
      <c r="AG59" s="316"/>
      <c r="AH59" s="350"/>
    </row>
    <row r="60" spans="1:34" x14ac:dyDescent="0.3">
      <c r="A60" t="s">
        <v>322</v>
      </c>
      <c r="B60" s="459"/>
      <c r="C60" s="316" t="s">
        <v>223</v>
      </c>
      <c r="D60" s="456"/>
      <c r="E60" s="456"/>
      <c r="F60" s="316" t="s">
        <v>323</v>
      </c>
      <c r="G60" s="326" t="s">
        <v>324</v>
      </c>
      <c r="H60" s="330"/>
      <c r="I60" s="330" t="s">
        <v>325</v>
      </c>
      <c r="J60" s="330" t="s">
        <v>41</v>
      </c>
      <c r="K60" s="330">
        <v>0</v>
      </c>
      <c r="L60" s="330" t="s">
        <v>43</v>
      </c>
      <c r="M60" s="330" t="s">
        <v>43</v>
      </c>
      <c r="N60" s="330" t="s">
        <v>43</v>
      </c>
      <c r="O60" s="330" t="s">
        <v>245</v>
      </c>
      <c r="P60" s="330" t="s">
        <v>157</v>
      </c>
      <c r="Q60" s="330">
        <v>1</v>
      </c>
      <c r="R60" s="330"/>
      <c r="S60" s="348"/>
      <c r="T60" s="310"/>
      <c r="U60" s="332"/>
      <c r="V60" s="349"/>
      <c r="W60" s="322"/>
      <c r="X60" s="317" cm="1">
        <f t="array" ref="X60">IF(Y60="",W60,_xlfn.XLOOKUP(Y60,$Y$2:Y58,$AC$2:AC58,W60,0,-1))</f>
        <v>0</v>
      </c>
      <c r="Y60" s="316"/>
      <c r="Z60" s="316"/>
      <c r="AA60" s="375">
        <f>(T60-U60)*Z60*W60</f>
        <v>0</v>
      </c>
      <c r="AB60" s="316">
        <f>(T60-U60)*Z60*X60</f>
        <v>0</v>
      </c>
      <c r="AC60" s="316">
        <f>X60-AB60</f>
        <v>0</v>
      </c>
      <c r="AD60" s="316"/>
      <c r="AE60" s="320">
        <f>AA60/Sankey_diag!$H$62</f>
        <v>0</v>
      </c>
      <c r="AF60" s="316"/>
      <c r="AG60" s="316"/>
      <c r="AH60" s="350"/>
    </row>
    <row r="61" spans="1:34" ht="43.2" x14ac:dyDescent="0.3">
      <c r="A61" t="s">
        <v>326</v>
      </c>
      <c r="B61" s="459"/>
      <c r="C61" s="316" t="s">
        <v>268</v>
      </c>
      <c r="D61" s="456"/>
      <c r="E61" s="456"/>
      <c r="F61" s="316" t="s">
        <v>327</v>
      </c>
      <c r="G61" s="326" t="s">
        <v>327</v>
      </c>
      <c r="H61" s="330" t="s">
        <v>316</v>
      </c>
      <c r="I61" s="330" t="s">
        <v>328</v>
      </c>
      <c r="J61" s="330" t="s">
        <v>52</v>
      </c>
      <c r="K61" s="330"/>
      <c r="L61" s="330" t="s">
        <v>111</v>
      </c>
      <c r="M61" s="330" t="s">
        <v>43</v>
      </c>
      <c r="N61" s="330" t="s">
        <v>43</v>
      </c>
      <c r="O61" s="330"/>
      <c r="P61" s="330" t="s">
        <v>106</v>
      </c>
      <c r="Q61" s="330">
        <v>1</v>
      </c>
      <c r="R61" s="330"/>
      <c r="S61" s="348" t="s">
        <v>329</v>
      </c>
      <c r="T61" s="311">
        <v>1</v>
      </c>
      <c r="U61" s="334">
        <v>1</v>
      </c>
      <c r="V61" s="349"/>
      <c r="W61" s="324"/>
      <c r="X61" s="317"/>
      <c r="Y61" s="316"/>
      <c r="Z61" s="319">
        <v>1</v>
      </c>
      <c r="AA61" s="375">
        <f>W61</f>
        <v>0</v>
      </c>
      <c r="AB61" s="323">
        <v>108</v>
      </c>
      <c r="AC61" s="323">
        <f t="shared" si="6"/>
        <v>-108</v>
      </c>
      <c r="AD61" s="320">
        <f>AA61/Sankey_diag!$H$29</f>
        <v>0</v>
      </c>
      <c r="AE61" s="320">
        <f>AA61/Sankey_diag!$H$62</f>
        <v>0</v>
      </c>
      <c r="AF61" s="320"/>
      <c r="AG61" s="316"/>
      <c r="AH61" s="350"/>
    </row>
    <row r="62" spans="1:34" ht="28.8" x14ac:dyDescent="0.3">
      <c r="A62" t="s">
        <v>330</v>
      </c>
      <c r="B62" s="459"/>
      <c r="C62" s="316" t="s">
        <v>223</v>
      </c>
      <c r="D62" s="456"/>
      <c r="E62" s="456" t="s">
        <v>2890</v>
      </c>
      <c r="F62" s="316" t="s">
        <v>331</v>
      </c>
      <c r="G62" s="326" t="s">
        <v>332</v>
      </c>
      <c r="H62" s="330" t="s">
        <v>213</v>
      </c>
      <c r="I62" s="330" t="s">
        <v>333</v>
      </c>
      <c r="J62" s="330" t="s">
        <v>41</v>
      </c>
      <c r="K62" s="330">
        <v>0</v>
      </c>
      <c r="L62" s="330" t="s">
        <v>44</v>
      </c>
      <c r="M62" s="330" t="s">
        <v>43</v>
      </c>
      <c r="N62" s="330" t="s">
        <v>43</v>
      </c>
      <c r="O62" s="330" t="s">
        <v>251</v>
      </c>
      <c r="P62" s="330" t="s">
        <v>45</v>
      </c>
      <c r="Q62" s="330">
        <v>1</v>
      </c>
      <c r="R62" s="330"/>
      <c r="S62" s="348" t="s">
        <v>334</v>
      </c>
      <c r="T62" s="311">
        <v>0.75</v>
      </c>
      <c r="U62" s="332"/>
      <c r="V62" s="349">
        <v>2022</v>
      </c>
      <c r="W62" s="322"/>
      <c r="X62" s="317" cm="1">
        <f t="array" ref="X62">IF(Y62="",W62,_xlfn.XLOOKUP(Y62,$Y$2:Y61,$AC$2:AC61,W62,0,-1))</f>
        <v>0</v>
      </c>
      <c r="Y62" s="316"/>
      <c r="Z62" s="316"/>
      <c r="AA62" s="375">
        <f>(T62-U62)*Z62*W62</f>
        <v>0</v>
      </c>
      <c r="AB62" s="323">
        <f>(T62-U62)*Z62*X62</f>
        <v>0</v>
      </c>
      <c r="AC62" s="323">
        <f t="shared" si="6"/>
        <v>0</v>
      </c>
      <c r="AD62" s="320">
        <f>AA62/Sankey_diag!$H$29</f>
        <v>0</v>
      </c>
      <c r="AE62" s="320">
        <f>AA62/Sankey_diag!$H$62</f>
        <v>0</v>
      </c>
      <c r="AF62" s="324">
        <f>5*AE62</f>
        <v>0</v>
      </c>
      <c r="AG62" s="316"/>
      <c r="AH62" s="350"/>
    </row>
    <row r="63" spans="1:34" ht="43.2" x14ac:dyDescent="0.3">
      <c r="A63" t="s">
        <v>335</v>
      </c>
      <c r="B63" s="459"/>
      <c r="C63" s="316" t="s">
        <v>223</v>
      </c>
      <c r="D63" s="456"/>
      <c r="E63" s="456"/>
      <c r="F63" s="316" t="s">
        <v>336</v>
      </c>
      <c r="G63" s="326" t="s">
        <v>337</v>
      </c>
      <c r="H63" s="330" t="s">
        <v>213</v>
      </c>
      <c r="I63" s="330" t="s">
        <v>338</v>
      </c>
      <c r="J63" s="330" t="s">
        <v>41</v>
      </c>
      <c r="K63" s="330">
        <v>0</v>
      </c>
      <c r="L63" s="330" t="s">
        <v>44</v>
      </c>
      <c r="M63" s="330" t="s">
        <v>111</v>
      </c>
      <c r="N63" s="330" t="s">
        <v>44</v>
      </c>
      <c r="O63" s="330"/>
      <c r="P63" s="330" t="s">
        <v>119</v>
      </c>
      <c r="Q63" s="330">
        <v>1</v>
      </c>
      <c r="R63" s="330"/>
      <c r="S63" s="348" t="s">
        <v>339</v>
      </c>
      <c r="T63" s="311">
        <f>2/5*30%*80%</f>
        <v>9.6000000000000002E-2</v>
      </c>
      <c r="U63" s="332">
        <v>0</v>
      </c>
      <c r="V63" s="349"/>
      <c r="W63" s="322">
        <f>SUM(Sankey_diag!N31,Sankey_diag!N38,Sankey_diag!N42)</f>
        <v>551.01667214707652</v>
      </c>
      <c r="X63" s="317" cm="1">
        <f t="array" ref="X63">IF(Y63="",W63,_xlfn.XLOOKUP(Y63,$Y$2:Y62,$AC$2:AC62,W63,0,-1))</f>
        <v>551.01667214707652</v>
      </c>
      <c r="Y63" s="316">
        <v>4</v>
      </c>
      <c r="Z63" s="319">
        <v>1</v>
      </c>
      <c r="AA63" s="375">
        <f>(T63-U63)*Z63*W63</f>
        <v>52.897600526119348</v>
      </c>
      <c r="AB63" s="323">
        <f>(T63-U63)*Z63*X63</f>
        <v>52.897600526119348</v>
      </c>
      <c r="AC63" s="323">
        <f t="shared" si="6"/>
        <v>498.11907162095719</v>
      </c>
      <c r="AD63" s="320">
        <f>AA63/Sankey_diag!$H$29</f>
        <v>3.4694151819107656E-2</v>
      </c>
      <c r="AE63" s="320">
        <f>AA63/Sankey_diag!$H$62</f>
        <v>1.4393201789344478E-2</v>
      </c>
      <c r="AF63" s="324">
        <f>5*AE63</f>
        <v>7.1966008946722393E-2</v>
      </c>
      <c r="AG63" s="316"/>
      <c r="AH63" s="350"/>
    </row>
    <row r="64" spans="1:34" ht="29.4" thickBot="1" x14ac:dyDescent="0.35">
      <c r="A64" t="s">
        <v>340</v>
      </c>
      <c r="B64" s="460"/>
      <c r="C64" s="351" t="s">
        <v>223</v>
      </c>
      <c r="D64" s="457"/>
      <c r="E64" s="457"/>
      <c r="F64" s="351" t="s">
        <v>341</v>
      </c>
      <c r="G64" s="353" t="s">
        <v>342</v>
      </c>
      <c r="H64" s="354" t="s">
        <v>213</v>
      </c>
      <c r="I64" s="354" t="s">
        <v>343</v>
      </c>
      <c r="J64" s="354" t="s">
        <v>41</v>
      </c>
      <c r="K64" s="354">
        <v>2</v>
      </c>
      <c r="L64" s="354" t="s">
        <v>44</v>
      </c>
      <c r="M64" s="354" t="s">
        <v>43</v>
      </c>
      <c r="N64" s="354" t="s">
        <v>44</v>
      </c>
      <c r="O64" s="354" t="s">
        <v>245</v>
      </c>
      <c r="P64" s="354" t="s">
        <v>119</v>
      </c>
      <c r="Q64" s="354">
        <v>1</v>
      </c>
      <c r="R64" s="354"/>
      <c r="S64" s="356" t="s">
        <v>344</v>
      </c>
      <c r="T64" s="357">
        <f>1/4*30%</f>
        <v>7.4999999999999997E-2</v>
      </c>
      <c r="U64" s="358">
        <v>0</v>
      </c>
      <c r="V64" s="359"/>
      <c r="W64" s="368">
        <f>W63</f>
        <v>551.01667214707652</v>
      </c>
      <c r="X64" s="361" cm="1">
        <f t="array" ref="X64">IF(Y64="",W64,_xlfn.XLOOKUP(Y64,$Y$2:Y63,$AC$2:AC63,W64,0,-1))</f>
        <v>498.11907162095719</v>
      </c>
      <c r="Y64" s="351">
        <v>4</v>
      </c>
      <c r="Z64" s="369">
        <v>0.2</v>
      </c>
      <c r="AA64" s="376">
        <f>(T64-U64)*Z64*W64</f>
        <v>8.2652500822061477</v>
      </c>
      <c r="AB64" s="385">
        <f>(T64-U64)*Z64*X64</f>
        <v>7.4717860743143572</v>
      </c>
      <c r="AC64" s="385">
        <f t="shared" si="6"/>
        <v>490.64728554664282</v>
      </c>
      <c r="AD64" s="362">
        <f>AA64/Sankey_diag!$H$29</f>
        <v>5.4209612217355711E-3</v>
      </c>
      <c r="AE64" s="362">
        <f>AA64/Sankey_diag!$H$62</f>
        <v>2.2489377795850748E-3</v>
      </c>
      <c r="AF64" s="360">
        <f>5*AE64</f>
        <v>1.1244688897925374E-2</v>
      </c>
      <c r="AG64" s="351"/>
      <c r="AH64" s="363"/>
    </row>
    <row r="65" spans="1:34" ht="63.15" customHeight="1" thickTop="1" x14ac:dyDescent="0.3">
      <c r="A65" t="s">
        <v>345</v>
      </c>
      <c r="B65" s="458" t="s">
        <v>2879</v>
      </c>
      <c r="C65" s="336" t="s">
        <v>346</v>
      </c>
      <c r="D65" s="455" t="s">
        <v>2885</v>
      </c>
      <c r="E65" s="337" t="s">
        <v>2866</v>
      </c>
      <c r="F65" s="336" t="s">
        <v>348</v>
      </c>
      <c r="G65" s="338" t="s">
        <v>349</v>
      </c>
      <c r="H65" s="339"/>
      <c r="I65" s="339"/>
      <c r="J65" s="339" t="s">
        <v>41</v>
      </c>
      <c r="K65" s="339">
        <v>1</v>
      </c>
      <c r="L65" s="339" t="s">
        <v>86</v>
      </c>
      <c r="M65" s="339" t="s">
        <v>111</v>
      </c>
      <c r="N65" s="339" t="s">
        <v>111</v>
      </c>
      <c r="O65" s="339" t="s">
        <v>350</v>
      </c>
      <c r="P65" s="339" t="s">
        <v>45</v>
      </c>
      <c r="Q65" s="339"/>
      <c r="R65" s="339"/>
      <c r="S65" s="340" t="s">
        <v>351</v>
      </c>
      <c r="T65" s="341">
        <v>1</v>
      </c>
      <c r="U65" s="342"/>
      <c r="V65" s="343"/>
      <c r="W65" s="344"/>
      <c r="X65" s="345"/>
      <c r="Y65" s="336"/>
      <c r="Z65" s="336"/>
      <c r="AA65" s="374"/>
      <c r="AB65" s="336"/>
      <c r="AC65" s="336"/>
      <c r="AD65" s="336"/>
      <c r="AE65" s="346">
        <f>AA65/Sankey_diag!$H$62</f>
        <v>0</v>
      </c>
      <c r="AF65" s="336"/>
      <c r="AG65" s="336"/>
      <c r="AH65" s="347"/>
    </row>
    <row r="66" spans="1:34" ht="43.2" x14ac:dyDescent="0.3">
      <c r="A66" t="s">
        <v>352</v>
      </c>
      <c r="B66" s="459"/>
      <c r="C66" s="316" t="s">
        <v>346</v>
      </c>
      <c r="D66" s="456"/>
      <c r="E66" s="315" t="s">
        <v>2863</v>
      </c>
      <c r="F66" s="316" t="s">
        <v>354</v>
      </c>
      <c r="G66" s="326" t="s">
        <v>354</v>
      </c>
      <c r="H66" s="330"/>
      <c r="I66" s="330"/>
      <c r="J66" s="330" t="s">
        <v>41</v>
      </c>
      <c r="K66" s="330">
        <v>2</v>
      </c>
      <c r="L66" s="330" t="s">
        <v>42</v>
      </c>
      <c r="M66" s="330" t="s">
        <v>43</v>
      </c>
      <c r="N66" s="330" t="s">
        <v>44</v>
      </c>
      <c r="O66" s="330"/>
      <c r="P66" s="330" t="s">
        <v>119</v>
      </c>
      <c r="Q66" s="330"/>
      <c r="R66" s="330"/>
      <c r="S66" s="348" t="s">
        <v>355</v>
      </c>
      <c r="T66" s="311">
        <v>0.7</v>
      </c>
      <c r="U66" s="332">
        <v>0</v>
      </c>
      <c r="V66" s="349"/>
      <c r="W66" s="322"/>
      <c r="X66" s="317"/>
      <c r="Y66" s="316"/>
      <c r="Z66" s="316"/>
      <c r="AA66" s="375"/>
      <c r="AB66" s="316"/>
      <c r="AC66" s="316"/>
      <c r="AD66" s="316"/>
      <c r="AE66" s="320">
        <f>AA66/Sankey_diag!$H$62</f>
        <v>0</v>
      </c>
      <c r="AF66" s="316"/>
      <c r="AG66" s="316" t="s">
        <v>356</v>
      </c>
      <c r="AH66" s="350" t="s">
        <v>77</v>
      </c>
    </row>
    <row r="67" spans="1:34" x14ac:dyDescent="0.3">
      <c r="A67" t="s">
        <v>357</v>
      </c>
      <c r="B67" s="459"/>
      <c r="C67" s="316" t="s">
        <v>346</v>
      </c>
      <c r="D67" s="456"/>
      <c r="E67" s="456" t="s">
        <v>2867</v>
      </c>
      <c r="F67" s="316" t="s">
        <v>359</v>
      </c>
      <c r="G67" s="326" t="s">
        <v>359</v>
      </c>
      <c r="H67" s="330"/>
      <c r="I67" s="330"/>
      <c r="J67" s="330" t="s">
        <v>41</v>
      </c>
      <c r="K67" s="330">
        <v>0</v>
      </c>
      <c r="L67" s="330" t="s">
        <v>53</v>
      </c>
      <c r="M67" s="330" t="s">
        <v>44</v>
      </c>
      <c r="N67" s="330" t="s">
        <v>44</v>
      </c>
      <c r="O67" s="330"/>
      <c r="P67" s="330" t="s">
        <v>45</v>
      </c>
      <c r="Q67" s="330"/>
      <c r="R67" s="330"/>
      <c r="S67" s="348" t="s">
        <v>360</v>
      </c>
      <c r="T67" s="311">
        <v>0.5</v>
      </c>
      <c r="U67" s="332"/>
      <c r="V67" s="349"/>
      <c r="W67" s="322">
        <f>Sankey_diag!N50</f>
        <v>2.5190640000000002</v>
      </c>
      <c r="X67" s="317" cm="1">
        <f t="array" ref="X67">IF(Y67="",W67,_xlfn.XLOOKUP(Y67,$Y$2:Y66,$AC$2:AC66,W67,0,-1))</f>
        <v>2.5190640000000002</v>
      </c>
      <c r="Y67" s="316"/>
      <c r="Z67" s="386">
        <v>1E-4</v>
      </c>
      <c r="AA67" s="375">
        <f t="shared" ref="AA67:AA90" si="10">(T67-U67)*Z67*W67</f>
        <v>1.2595320000000001E-4</v>
      </c>
      <c r="AB67" s="316">
        <f t="shared" ref="AB67:AB90" si="11">(T67-U67)*Z67*X67</f>
        <v>1.2595320000000001E-4</v>
      </c>
      <c r="AC67" s="316">
        <f t="shared" ref="AC67:AC90" si="12">X67-AB67</f>
        <v>2.5189380468000002</v>
      </c>
      <c r="AD67" s="316"/>
      <c r="AE67" s="320">
        <f>AA67/Sankey_diag!$H$62</f>
        <v>3.4271305419959813E-8</v>
      </c>
      <c r="AF67" s="316"/>
      <c r="AG67" s="316" t="s">
        <v>77</v>
      </c>
      <c r="AH67" s="350" t="s">
        <v>361</v>
      </c>
    </row>
    <row r="68" spans="1:34" x14ac:dyDescent="0.3">
      <c r="A68" t="s">
        <v>362</v>
      </c>
      <c r="B68" s="459"/>
      <c r="C68" s="316" t="s">
        <v>346</v>
      </c>
      <c r="D68" s="456"/>
      <c r="E68" s="456"/>
      <c r="F68" s="316" t="s">
        <v>363</v>
      </c>
      <c r="G68" s="326" t="s">
        <v>364</v>
      </c>
      <c r="H68" s="330"/>
      <c r="I68" s="330" t="s">
        <v>365</v>
      </c>
      <c r="J68" s="330" t="s">
        <v>41</v>
      </c>
      <c r="K68" s="330">
        <v>0</v>
      </c>
      <c r="L68" s="330" t="s">
        <v>53</v>
      </c>
      <c r="M68" s="330" t="s">
        <v>44</v>
      </c>
      <c r="N68" s="330" t="s">
        <v>44</v>
      </c>
      <c r="O68" s="330"/>
      <c r="P68" s="330" t="s">
        <v>45</v>
      </c>
      <c r="Q68" s="330"/>
      <c r="R68" s="330"/>
      <c r="S68" s="348" t="s">
        <v>366</v>
      </c>
      <c r="T68" s="310">
        <v>1</v>
      </c>
      <c r="U68" s="332">
        <v>0</v>
      </c>
      <c r="V68" s="349"/>
      <c r="W68" s="322"/>
      <c r="X68" s="317"/>
      <c r="Y68" s="316"/>
      <c r="Z68" s="316"/>
      <c r="AA68" s="375"/>
      <c r="AB68" s="316"/>
      <c r="AC68" s="316"/>
      <c r="AD68" s="316"/>
      <c r="AE68" s="320">
        <f>AA68/Sankey_diag!$H$62</f>
        <v>0</v>
      </c>
      <c r="AF68" s="316"/>
      <c r="AG68" s="316" t="s">
        <v>367</v>
      </c>
      <c r="AH68" s="350" t="s">
        <v>368</v>
      </c>
    </row>
    <row r="69" spans="1:34" ht="57.6" x14ac:dyDescent="0.3">
      <c r="A69" t="s">
        <v>369</v>
      </c>
      <c r="B69" s="459"/>
      <c r="C69" s="316" t="s">
        <v>346</v>
      </c>
      <c r="D69" s="456"/>
      <c r="E69" s="456"/>
      <c r="F69" s="316" t="s">
        <v>370</v>
      </c>
      <c r="G69" s="326" t="s">
        <v>371</v>
      </c>
      <c r="H69" s="330"/>
      <c r="I69" s="330" t="s">
        <v>372</v>
      </c>
      <c r="J69" s="330" t="s">
        <v>140</v>
      </c>
      <c r="K69" s="330"/>
      <c r="L69" s="330" t="s">
        <v>42</v>
      </c>
      <c r="M69" s="330" t="s">
        <v>43</v>
      </c>
      <c r="N69" s="330" t="s">
        <v>44</v>
      </c>
      <c r="O69" s="330"/>
      <c r="P69" s="330" t="s">
        <v>106</v>
      </c>
      <c r="Q69" s="330"/>
      <c r="R69" s="330"/>
      <c r="S69" s="348" t="s">
        <v>373</v>
      </c>
      <c r="T69" s="311">
        <v>0.5</v>
      </c>
      <c r="U69" s="332">
        <v>0</v>
      </c>
      <c r="V69" s="349"/>
      <c r="W69" s="322">
        <f>Sankey_diag!K51+Sankey_diag!N52</f>
        <v>17.560000000000002</v>
      </c>
      <c r="X69" s="317" cm="1">
        <f t="array" ref="X69">IF(Y69="",W69,_xlfn.XLOOKUP(Y69,$Y$2:Y68,$AC$2:AC68,W69,0,-1))</f>
        <v>17.560000000000002</v>
      </c>
      <c r="Y69" s="316">
        <v>12</v>
      </c>
      <c r="Z69" s="319">
        <v>1</v>
      </c>
      <c r="AA69" s="375">
        <f t="shared" ref="AA69" si="13">(T69-U69)*Z69*W69</f>
        <v>8.7800000000000011</v>
      </c>
      <c r="AB69" s="316">
        <f t="shared" ref="AB69" si="14">(T69-U69)*Z69*X69</f>
        <v>8.7800000000000011</v>
      </c>
      <c r="AC69" s="316">
        <f t="shared" ref="AC69" si="15">X69-AB69</f>
        <v>8.7800000000000011</v>
      </c>
      <c r="AD69" s="316"/>
      <c r="AE69" s="320">
        <f>AA69/Sankey_diag!$H$62</f>
        <v>2.3889989423630936E-3</v>
      </c>
      <c r="AF69" s="316"/>
      <c r="AG69" s="330" t="s">
        <v>374</v>
      </c>
      <c r="AH69" s="350" t="s">
        <v>60</v>
      </c>
    </row>
    <row r="70" spans="1:34" ht="28.8" x14ac:dyDescent="0.3">
      <c r="A70" t="s">
        <v>375</v>
      </c>
      <c r="B70" s="459"/>
      <c r="C70" s="316" t="s">
        <v>346</v>
      </c>
      <c r="D70" s="456"/>
      <c r="E70" s="456"/>
      <c r="F70" s="316" t="s">
        <v>376</v>
      </c>
      <c r="G70" s="326" t="s">
        <v>376</v>
      </c>
      <c r="H70" s="330"/>
      <c r="I70" s="330" t="s">
        <v>377</v>
      </c>
      <c r="J70" s="330" t="s">
        <v>41</v>
      </c>
      <c r="K70" s="330">
        <v>1</v>
      </c>
      <c r="L70" s="330" t="s">
        <v>53</v>
      </c>
      <c r="M70" s="330" t="s">
        <v>44</v>
      </c>
      <c r="N70" s="330" t="s">
        <v>44</v>
      </c>
      <c r="O70" s="330"/>
      <c r="P70" s="330" t="s">
        <v>106</v>
      </c>
      <c r="Q70" s="330"/>
      <c r="R70" s="330"/>
      <c r="S70" s="348" t="s">
        <v>378</v>
      </c>
      <c r="T70" s="314">
        <v>2.5000000000000001E-2</v>
      </c>
      <c r="U70" s="332">
        <v>0</v>
      </c>
      <c r="V70" s="349"/>
      <c r="W70" s="322">
        <f>Sankey_diag!N52</f>
        <v>7.73</v>
      </c>
      <c r="X70" s="317" cm="1">
        <f t="array" ref="X70">IF(Y70="",W70,_xlfn.XLOOKUP(Y70,$Y$2:Y67,$AC$2:AC67,W70,0,-1))</f>
        <v>7.73</v>
      </c>
      <c r="Y70" s="316">
        <v>12</v>
      </c>
      <c r="Z70" s="387">
        <v>1</v>
      </c>
      <c r="AA70" s="375">
        <f>(T70-U70)*Z70*W70</f>
        <v>0.19325000000000003</v>
      </c>
      <c r="AB70" s="316">
        <f>(T70-U70)*Z70*X70</f>
        <v>0.19325000000000003</v>
      </c>
      <c r="AC70" s="316">
        <f t="shared" si="12"/>
        <v>7.5367500000000005</v>
      </c>
      <c r="AD70" s="316"/>
      <c r="AE70" s="320">
        <f>AA70/Sankey_diag!$H$62</f>
        <v>5.2582465331625038E-5</v>
      </c>
      <c r="AF70" s="316"/>
      <c r="AG70" s="316" t="s">
        <v>77</v>
      </c>
      <c r="AH70" s="350" t="s">
        <v>379</v>
      </c>
    </row>
    <row r="71" spans="1:34" ht="28.8" x14ac:dyDescent="0.3">
      <c r="A71" t="s">
        <v>380</v>
      </c>
      <c r="B71" s="459"/>
      <c r="C71" s="316" t="s">
        <v>346</v>
      </c>
      <c r="D71" s="456"/>
      <c r="E71" s="456"/>
      <c r="F71" s="316" t="s">
        <v>381</v>
      </c>
      <c r="G71" s="326" t="s">
        <v>382</v>
      </c>
      <c r="H71" s="330"/>
      <c r="I71" s="330"/>
      <c r="J71" s="330" t="s">
        <v>41</v>
      </c>
      <c r="K71" s="330">
        <v>0</v>
      </c>
      <c r="L71" s="330" t="s">
        <v>42</v>
      </c>
      <c r="M71" s="330" t="s">
        <v>43</v>
      </c>
      <c r="N71" s="330" t="s">
        <v>44</v>
      </c>
      <c r="O71" s="330"/>
      <c r="P71" s="330" t="s">
        <v>45</v>
      </c>
      <c r="Q71" s="330"/>
      <c r="R71" s="330"/>
      <c r="S71" s="348" t="s">
        <v>383</v>
      </c>
      <c r="T71" s="311">
        <v>0.3</v>
      </c>
      <c r="U71" s="332"/>
      <c r="V71" s="349"/>
      <c r="W71" s="322"/>
      <c r="X71" s="317"/>
      <c r="Y71" s="316"/>
      <c r="Z71" s="380"/>
      <c r="AA71" s="375"/>
      <c r="AB71" s="316"/>
      <c r="AC71" s="316"/>
      <c r="AD71" s="316"/>
      <c r="AE71" s="320">
        <f>AA71/Sankey_diag!$H$62</f>
        <v>0</v>
      </c>
      <c r="AF71" s="316"/>
      <c r="AG71" s="316" t="s">
        <v>384</v>
      </c>
      <c r="AH71" s="350"/>
    </row>
    <row r="72" spans="1:34" x14ac:dyDescent="0.3">
      <c r="A72" t="s">
        <v>385</v>
      </c>
      <c r="B72" s="459"/>
      <c r="C72" s="316" t="s">
        <v>346</v>
      </c>
      <c r="D72" s="456"/>
      <c r="E72" s="456"/>
      <c r="F72" s="316" t="s">
        <v>386</v>
      </c>
      <c r="G72" s="326" t="s">
        <v>387</v>
      </c>
      <c r="H72" s="330"/>
      <c r="I72" s="330"/>
      <c r="J72" s="330" t="s">
        <v>41</v>
      </c>
      <c r="K72" s="330">
        <v>0</v>
      </c>
      <c r="L72" s="330" t="s">
        <v>86</v>
      </c>
      <c r="M72" s="330" t="s">
        <v>44</v>
      </c>
      <c r="N72" s="330" t="s">
        <v>44</v>
      </c>
      <c r="O72" s="330"/>
      <c r="P72" s="330" t="s">
        <v>45</v>
      </c>
      <c r="Q72" s="330"/>
      <c r="R72" s="330"/>
      <c r="S72" s="348" t="s">
        <v>388</v>
      </c>
      <c r="T72" s="311">
        <v>0.3</v>
      </c>
      <c r="U72" s="332"/>
      <c r="V72" s="349"/>
      <c r="W72" s="322"/>
      <c r="X72" s="317"/>
      <c r="Y72" s="316"/>
      <c r="Z72" s="319"/>
      <c r="AA72" s="375"/>
      <c r="AB72" s="316"/>
      <c r="AC72" s="316"/>
      <c r="AD72" s="316"/>
      <c r="AE72" s="320">
        <f>AA72/Sankey_diag!$H$62</f>
        <v>0</v>
      </c>
      <c r="AF72" s="316"/>
      <c r="AG72" s="316" t="s">
        <v>389</v>
      </c>
      <c r="AH72" s="350" t="s">
        <v>77</v>
      </c>
    </row>
    <row r="73" spans="1:34" ht="28.8" x14ac:dyDescent="0.3">
      <c r="A73" t="s">
        <v>390</v>
      </c>
      <c r="B73" s="459"/>
      <c r="C73" s="316" t="s">
        <v>346</v>
      </c>
      <c r="D73" s="456"/>
      <c r="E73" s="456"/>
      <c r="F73" s="316" t="s">
        <v>391</v>
      </c>
      <c r="G73" s="326" t="s">
        <v>392</v>
      </c>
      <c r="H73" s="330"/>
      <c r="I73" s="330"/>
      <c r="J73" s="330" t="s">
        <v>41</v>
      </c>
      <c r="K73" s="330">
        <v>0</v>
      </c>
      <c r="L73" s="330" t="s">
        <v>42</v>
      </c>
      <c r="M73" s="330" t="s">
        <v>43</v>
      </c>
      <c r="N73" s="330" t="s">
        <v>44</v>
      </c>
      <c r="O73" s="330" t="s">
        <v>393</v>
      </c>
      <c r="P73" s="330" t="s">
        <v>45</v>
      </c>
      <c r="Q73" s="330"/>
      <c r="R73" s="330"/>
      <c r="S73" s="348" t="s">
        <v>394</v>
      </c>
      <c r="T73" s="311">
        <v>1</v>
      </c>
      <c r="U73" s="332"/>
      <c r="V73" s="349"/>
      <c r="W73" s="322">
        <f>Sankey_diag!N48</f>
        <v>16.09995</v>
      </c>
      <c r="X73" s="317" cm="1">
        <f t="array" ref="X73">IF(Y73="",W73,_xlfn.XLOOKUP(Y73,$Y$2:Y72,$AC$2:AC72,W73,0,-1))</f>
        <v>16.09995</v>
      </c>
      <c r="Y73" s="316"/>
      <c r="Z73" s="319">
        <v>0.4</v>
      </c>
      <c r="AA73" s="375">
        <f t="shared" si="10"/>
        <v>6.4399800000000003</v>
      </c>
      <c r="AB73" s="316">
        <f t="shared" si="11"/>
        <v>6.4399800000000003</v>
      </c>
      <c r="AC73" s="316">
        <f t="shared" si="12"/>
        <v>9.6599699999999995</v>
      </c>
      <c r="AD73" s="316"/>
      <c r="AE73" s="320">
        <f>AA73/Sankey_diag!$H$62</f>
        <v>1.7522899098906006E-3</v>
      </c>
      <c r="AF73" s="316"/>
      <c r="AG73" s="316" t="s">
        <v>395</v>
      </c>
      <c r="AH73" s="350"/>
    </row>
    <row r="74" spans="1:34" ht="43.2" x14ac:dyDescent="0.3">
      <c r="B74" s="459"/>
      <c r="C74" s="316" t="s">
        <v>346</v>
      </c>
      <c r="D74" s="456"/>
      <c r="E74" s="456"/>
      <c r="F74" s="316" t="s">
        <v>396</v>
      </c>
      <c r="G74" s="326" t="s">
        <v>397</v>
      </c>
      <c r="H74" s="330"/>
      <c r="I74" s="330"/>
      <c r="J74" s="330" t="s">
        <v>52</v>
      </c>
      <c r="K74" s="330"/>
      <c r="L74" s="330" t="s">
        <v>42</v>
      </c>
      <c r="M74" s="330" t="s">
        <v>43</v>
      </c>
      <c r="N74" s="330" t="s">
        <v>44</v>
      </c>
      <c r="O74" s="330"/>
      <c r="P74" s="330" t="s">
        <v>45</v>
      </c>
      <c r="Q74" s="330"/>
      <c r="R74" s="330"/>
      <c r="S74" s="348" t="s">
        <v>398</v>
      </c>
      <c r="T74" s="311">
        <v>0.75</v>
      </c>
      <c r="U74" s="332"/>
      <c r="V74" s="349"/>
      <c r="W74" s="324">
        <f>Sankey_diag!K48</f>
        <v>24.975974000000001</v>
      </c>
      <c r="X74" s="317" cm="1">
        <f t="array" ref="X74">IF(Y74="",W74,_xlfn.XLOOKUP(Y74,$Y$2:Y73,$AC$2:AC73,W74,0,-1))</f>
        <v>24.975974000000001</v>
      </c>
      <c r="Y74" s="316"/>
      <c r="Z74" s="319">
        <v>1</v>
      </c>
      <c r="AA74" s="375">
        <f t="shared" si="10"/>
        <v>18.731980499999999</v>
      </c>
      <c r="AB74" s="316">
        <f t="shared" si="11"/>
        <v>18.731980499999999</v>
      </c>
      <c r="AC74" s="316">
        <f t="shared" si="12"/>
        <v>6.243993500000002</v>
      </c>
      <c r="AD74" s="316"/>
      <c r="AE74" s="320">
        <f>AA74/Sankey_diag!$H$62</f>
        <v>5.0968885652467062E-3</v>
      </c>
      <c r="AF74" s="316"/>
      <c r="AG74" s="316" t="s">
        <v>399</v>
      </c>
      <c r="AH74" s="350" t="s">
        <v>400</v>
      </c>
    </row>
    <row r="75" spans="1:34" ht="28.8" x14ac:dyDescent="0.3">
      <c r="A75" t="s">
        <v>401</v>
      </c>
      <c r="B75" s="459"/>
      <c r="C75" s="316" t="s">
        <v>346</v>
      </c>
      <c r="D75" s="456"/>
      <c r="E75" s="456" t="s">
        <v>2896</v>
      </c>
      <c r="F75" s="316" t="s">
        <v>403</v>
      </c>
      <c r="G75" s="326" t="s">
        <v>403</v>
      </c>
      <c r="H75" s="330"/>
      <c r="I75" s="330" t="s">
        <v>404</v>
      </c>
      <c r="J75" s="330" t="s">
        <v>41</v>
      </c>
      <c r="K75" s="330">
        <v>0</v>
      </c>
      <c r="L75" s="330" t="s">
        <v>53</v>
      </c>
      <c r="M75" s="330" t="s">
        <v>44</v>
      </c>
      <c r="N75" s="330" t="s">
        <v>44</v>
      </c>
      <c r="O75" s="330" t="s">
        <v>405</v>
      </c>
      <c r="P75" s="330" t="s">
        <v>45</v>
      </c>
      <c r="Q75" s="330"/>
      <c r="R75" s="330"/>
      <c r="S75" s="348" t="s">
        <v>406</v>
      </c>
      <c r="T75" s="311">
        <v>0.9</v>
      </c>
      <c r="U75" s="332"/>
      <c r="V75" s="349"/>
      <c r="W75" s="322">
        <f>Sankey_diag!K51+Sankey_diag!N50</f>
        <v>12.349064</v>
      </c>
      <c r="X75" s="317" cm="1">
        <f t="array" ref="X75">IF(Y75="",W75,_xlfn.XLOOKUP(Y75,$Y$2:Y74,$AC$2:AC74,W75,0,-1))</f>
        <v>7.5367500000000005</v>
      </c>
      <c r="Y75" s="316">
        <v>12</v>
      </c>
      <c r="Z75" s="387">
        <v>0.5</v>
      </c>
      <c r="AA75" s="375">
        <f t="shared" si="10"/>
        <v>5.5570788000000002</v>
      </c>
      <c r="AB75" s="316">
        <f t="shared" si="11"/>
        <v>3.3915375000000001</v>
      </c>
      <c r="AC75" s="316">
        <f t="shared" si="12"/>
        <v>4.1452125000000004</v>
      </c>
      <c r="AD75" s="316"/>
      <c r="AE75" s="320">
        <f>AA75/Sankey_diag!$H$62</f>
        <v>1.5120564209371717E-3</v>
      </c>
      <c r="AF75" s="316"/>
      <c r="AG75" s="316" t="s">
        <v>77</v>
      </c>
      <c r="AH75" s="350" t="s">
        <v>97</v>
      </c>
    </row>
    <row r="76" spans="1:34" x14ac:dyDescent="0.3">
      <c r="A76" t="s">
        <v>407</v>
      </c>
      <c r="B76" s="459"/>
      <c r="C76" s="316" t="s">
        <v>346</v>
      </c>
      <c r="D76" s="456"/>
      <c r="E76" s="456"/>
      <c r="F76" s="316" t="s">
        <v>408</v>
      </c>
      <c r="G76" s="326" t="s">
        <v>408</v>
      </c>
      <c r="H76" s="330"/>
      <c r="I76" s="330"/>
      <c r="J76" s="330" t="s">
        <v>41</v>
      </c>
      <c r="K76" s="330">
        <v>1</v>
      </c>
      <c r="L76" s="330" t="s">
        <v>86</v>
      </c>
      <c r="M76" s="330" t="s">
        <v>44</v>
      </c>
      <c r="N76" s="330" t="s">
        <v>44</v>
      </c>
      <c r="O76" s="330"/>
      <c r="P76" s="330" t="s">
        <v>45</v>
      </c>
      <c r="Q76" s="330"/>
      <c r="R76" s="330"/>
      <c r="S76" s="348" t="s">
        <v>409</v>
      </c>
      <c r="T76" s="311">
        <v>1</v>
      </c>
      <c r="U76" s="332"/>
      <c r="V76" s="349"/>
      <c r="W76" s="322"/>
      <c r="X76" s="317"/>
      <c r="Y76" s="316"/>
      <c r="Z76" s="316"/>
      <c r="AA76" s="375"/>
      <c r="AB76" s="316"/>
      <c r="AC76" s="316"/>
      <c r="AD76" s="316"/>
      <c r="AE76" s="320">
        <f>AA76/Sankey_diag!$H$62</f>
        <v>0</v>
      </c>
      <c r="AF76" s="316"/>
      <c r="AG76" s="316"/>
      <c r="AH76" s="350"/>
    </row>
    <row r="77" spans="1:34" x14ac:dyDescent="0.3">
      <c r="A77" t="s">
        <v>410</v>
      </c>
      <c r="B77" s="459"/>
      <c r="C77" s="316"/>
      <c r="D77" s="456"/>
      <c r="E77" s="456"/>
      <c r="F77" s="316" t="s">
        <v>411</v>
      </c>
      <c r="G77" s="327" t="s">
        <v>412</v>
      </c>
      <c r="H77" s="330"/>
      <c r="I77" s="330"/>
      <c r="J77" s="330" t="s">
        <v>41</v>
      </c>
      <c r="K77" s="330"/>
      <c r="L77" s="330"/>
      <c r="M77" s="330"/>
      <c r="N77" s="330"/>
      <c r="O77" s="330"/>
      <c r="P77" s="330"/>
      <c r="Q77" s="330"/>
      <c r="R77" s="330"/>
      <c r="S77" s="348" t="s">
        <v>413</v>
      </c>
      <c r="T77" s="312">
        <v>1</v>
      </c>
      <c r="U77" s="332"/>
      <c r="V77" s="349"/>
      <c r="W77" s="322"/>
      <c r="X77" s="317" cm="1">
        <f t="array" ref="X77">IF(Y77="",W77,_xlfn.XLOOKUP(Y77,$Y$2:Y76,$AC$2:AC76,W77,0,-1))</f>
        <v>0</v>
      </c>
      <c r="Y77" s="316"/>
      <c r="Z77" s="319">
        <v>0.02</v>
      </c>
      <c r="AA77" s="375">
        <f t="shared" si="10"/>
        <v>0</v>
      </c>
      <c r="AB77" s="316">
        <f t="shared" si="11"/>
        <v>0</v>
      </c>
      <c r="AC77" s="316">
        <f t="shared" si="12"/>
        <v>0</v>
      </c>
      <c r="AD77" s="316"/>
      <c r="AE77" s="320">
        <f>AA77/Sankey_diag!$H$62</f>
        <v>0</v>
      </c>
      <c r="AF77" s="316"/>
      <c r="AG77" s="316"/>
      <c r="AH77" s="350"/>
    </row>
    <row r="78" spans="1:34" ht="28.8" x14ac:dyDescent="0.3">
      <c r="A78" t="s">
        <v>414</v>
      </c>
      <c r="B78" s="459"/>
      <c r="C78" s="316" t="s">
        <v>346</v>
      </c>
      <c r="D78" s="456"/>
      <c r="E78" s="456"/>
      <c r="F78" s="316" t="s">
        <v>415</v>
      </c>
      <c r="G78" s="326" t="s">
        <v>416</v>
      </c>
      <c r="H78" s="330"/>
      <c r="I78" s="330" t="s">
        <v>417</v>
      </c>
      <c r="J78" s="330" t="s">
        <v>41</v>
      </c>
      <c r="K78" s="330">
        <v>0</v>
      </c>
      <c r="L78" s="330" t="s">
        <v>53</v>
      </c>
      <c r="M78" s="330" t="s">
        <v>44</v>
      </c>
      <c r="N78" s="330" t="s">
        <v>44</v>
      </c>
      <c r="O78" s="330" t="s">
        <v>418</v>
      </c>
      <c r="P78" s="330" t="s">
        <v>45</v>
      </c>
      <c r="Q78" s="330"/>
      <c r="R78" s="330"/>
      <c r="S78" s="348" t="s">
        <v>419</v>
      </c>
      <c r="T78" s="311">
        <v>0.3</v>
      </c>
      <c r="U78" s="332"/>
      <c r="V78" s="349"/>
      <c r="W78" s="322">
        <f>Sankey_diag!N48</f>
        <v>16.09995</v>
      </c>
      <c r="X78" s="317" cm="1">
        <f t="array" ref="X78">IF(Y78="",W78,_xlfn.XLOOKUP(Y78,$Y$2:Y76,$AC$2:AC76,W78,0,-1))</f>
        <v>38.146152999999998</v>
      </c>
      <c r="Y78" s="316">
        <v>13</v>
      </c>
      <c r="Z78" s="319">
        <f>40%*50%</f>
        <v>0.2</v>
      </c>
      <c r="AA78" s="375">
        <f t="shared" si="10"/>
        <v>0.96599699999999999</v>
      </c>
      <c r="AB78" s="316">
        <f t="shared" si="11"/>
        <v>2.2887691799999996</v>
      </c>
      <c r="AC78" s="316">
        <f t="shared" si="12"/>
        <v>35.857383819999995</v>
      </c>
      <c r="AD78" s="316"/>
      <c r="AE78" s="320">
        <f>AA78/Sankey_diag!$H$62</f>
        <v>2.6284348648359008E-4</v>
      </c>
      <c r="AF78" s="316"/>
      <c r="AG78" s="316" t="s">
        <v>77</v>
      </c>
      <c r="AH78" s="350"/>
    </row>
    <row r="79" spans="1:34" x14ac:dyDescent="0.3">
      <c r="A79" t="s">
        <v>420</v>
      </c>
      <c r="B79" s="459"/>
      <c r="C79" s="316" t="s">
        <v>346</v>
      </c>
      <c r="D79" s="456"/>
      <c r="E79" s="456"/>
      <c r="F79" s="316" t="s">
        <v>421</v>
      </c>
      <c r="G79" s="326" t="s">
        <v>422</v>
      </c>
      <c r="H79" s="330"/>
      <c r="I79" s="330"/>
      <c r="J79" s="330" t="s">
        <v>41</v>
      </c>
      <c r="K79" s="330">
        <v>2</v>
      </c>
      <c r="L79" s="330" t="s">
        <v>53</v>
      </c>
      <c r="M79" s="330" t="s">
        <v>44</v>
      </c>
      <c r="N79" s="330" t="s">
        <v>44</v>
      </c>
      <c r="O79" s="330" t="s">
        <v>393</v>
      </c>
      <c r="P79" s="330" t="s">
        <v>106</v>
      </c>
      <c r="Q79" s="330"/>
      <c r="R79" s="330"/>
      <c r="S79" s="348" t="s">
        <v>423</v>
      </c>
      <c r="T79" s="311">
        <v>0.9</v>
      </c>
      <c r="U79" s="332">
        <v>0</v>
      </c>
      <c r="V79" s="349"/>
      <c r="W79" s="322"/>
      <c r="X79" s="317"/>
      <c r="Y79" s="316"/>
      <c r="Z79" s="316"/>
      <c r="AA79" s="375"/>
      <c r="AB79" s="316"/>
      <c r="AC79" s="316"/>
      <c r="AD79" s="316"/>
      <c r="AE79" s="320"/>
      <c r="AF79" s="316"/>
      <c r="AG79" s="316"/>
      <c r="AH79" s="350"/>
    </row>
    <row r="80" spans="1:34" x14ac:dyDescent="0.3">
      <c r="A80" t="s">
        <v>424</v>
      </c>
      <c r="B80" s="459"/>
      <c r="C80" s="316" t="s">
        <v>346</v>
      </c>
      <c r="D80" s="456"/>
      <c r="E80" s="456"/>
      <c r="F80" s="316" t="s">
        <v>425</v>
      </c>
      <c r="G80" s="326" t="s">
        <v>426</v>
      </c>
      <c r="H80" s="330"/>
      <c r="I80" s="330" t="s">
        <v>427</v>
      </c>
      <c r="J80" s="330" t="s">
        <v>41</v>
      </c>
      <c r="K80" s="330">
        <v>0</v>
      </c>
      <c r="L80" s="330" t="s">
        <v>53</v>
      </c>
      <c r="M80" s="330" t="s">
        <v>43</v>
      </c>
      <c r="N80" s="330" t="s">
        <v>44</v>
      </c>
      <c r="O80" s="330"/>
      <c r="P80" s="330" t="s">
        <v>106</v>
      </c>
      <c r="Q80" s="330"/>
      <c r="R80" s="330"/>
      <c r="S80" s="348" t="s">
        <v>428</v>
      </c>
      <c r="T80" s="311">
        <v>0.9</v>
      </c>
      <c r="U80" s="332"/>
      <c r="V80" s="349"/>
      <c r="W80" s="322"/>
      <c r="X80" s="317"/>
      <c r="Y80" s="316"/>
      <c r="Z80" s="319"/>
      <c r="AA80" s="375"/>
      <c r="AB80" s="316"/>
      <c r="AC80" s="316"/>
      <c r="AD80" s="316"/>
      <c r="AE80" s="320"/>
      <c r="AF80" s="316"/>
      <c r="AG80" s="316" t="s">
        <v>77</v>
      </c>
      <c r="AH80" s="350" t="s">
        <v>429</v>
      </c>
    </row>
    <row r="81" spans="1:34" x14ac:dyDescent="0.3">
      <c r="B81" s="459"/>
      <c r="C81" s="316"/>
      <c r="D81" s="456"/>
      <c r="E81" s="456"/>
      <c r="F81" s="316"/>
      <c r="G81" s="326" t="s">
        <v>430</v>
      </c>
      <c r="H81" s="330"/>
      <c r="I81" s="330"/>
      <c r="J81" s="330" t="s">
        <v>185</v>
      </c>
      <c r="K81" s="330"/>
      <c r="L81" s="330"/>
      <c r="M81" s="330"/>
      <c r="N81" s="330"/>
      <c r="O81" s="330"/>
      <c r="P81" s="330"/>
      <c r="Q81" s="330"/>
      <c r="R81" s="330"/>
      <c r="S81" s="348" t="s">
        <v>431</v>
      </c>
      <c r="T81" s="310">
        <v>4</v>
      </c>
      <c r="U81" s="332">
        <v>0</v>
      </c>
      <c r="V81" s="349"/>
      <c r="W81" s="322">
        <f>Sankey_diag!N44+Sankey_diag!N45</f>
        <v>308.65206000000001</v>
      </c>
      <c r="X81" s="317"/>
      <c r="Y81" s="316"/>
      <c r="Z81" s="319">
        <v>0.05</v>
      </c>
      <c r="AA81" s="375">
        <f>Z81*W81</f>
        <v>15.432603</v>
      </c>
      <c r="AB81" s="316"/>
      <c r="AC81" s="316"/>
      <c r="AD81" s="316"/>
      <c r="AE81" s="320"/>
      <c r="AF81" s="316"/>
      <c r="AG81" s="316"/>
      <c r="AH81" s="350"/>
    </row>
    <row r="82" spans="1:34" ht="42" customHeight="1" thickBot="1" x14ac:dyDescent="0.35">
      <c r="B82" s="460"/>
      <c r="C82" s="351" t="s">
        <v>346</v>
      </c>
      <c r="D82" s="457"/>
      <c r="E82" s="457"/>
      <c r="F82" s="351" t="s">
        <v>432</v>
      </c>
      <c r="G82" s="353" t="s">
        <v>433</v>
      </c>
      <c r="H82" s="354"/>
      <c r="I82" s="354"/>
      <c r="J82" s="354" t="s">
        <v>52</v>
      </c>
      <c r="K82" s="354"/>
      <c r="L82" s="354" t="s">
        <v>86</v>
      </c>
      <c r="M82" s="354" t="s">
        <v>44</v>
      </c>
      <c r="N82" s="354" t="s">
        <v>44</v>
      </c>
      <c r="O82" s="354"/>
      <c r="P82" s="354" t="s">
        <v>119</v>
      </c>
      <c r="Q82" s="354"/>
      <c r="R82" s="354"/>
      <c r="S82" s="356" t="s">
        <v>434</v>
      </c>
      <c r="T82" s="388">
        <v>2</v>
      </c>
      <c r="U82" s="358">
        <v>0</v>
      </c>
      <c r="V82" s="359"/>
      <c r="W82" s="360"/>
      <c r="X82" s="361"/>
      <c r="Y82" s="351"/>
      <c r="Z82" s="389"/>
      <c r="AA82" s="376"/>
      <c r="AB82" s="351"/>
      <c r="AC82" s="351"/>
      <c r="AD82" s="351"/>
      <c r="AE82" s="362"/>
      <c r="AF82" s="351"/>
      <c r="AG82" s="352" t="s">
        <v>435</v>
      </c>
      <c r="AH82" s="363" t="s">
        <v>436</v>
      </c>
    </row>
    <row r="83" spans="1:34" ht="58.2" thickTop="1" x14ac:dyDescent="0.3">
      <c r="A83" t="s">
        <v>437</v>
      </c>
      <c r="B83" s="458" t="s">
        <v>2880</v>
      </c>
      <c r="C83" s="336" t="s">
        <v>439</v>
      </c>
      <c r="D83" s="455" t="s">
        <v>2886</v>
      </c>
      <c r="E83" s="337" t="s">
        <v>2871</v>
      </c>
      <c r="F83" s="336" t="s">
        <v>442</v>
      </c>
      <c r="G83" s="338" t="s">
        <v>442</v>
      </c>
      <c r="H83" s="339"/>
      <c r="I83" s="339" t="s">
        <v>443</v>
      </c>
      <c r="J83" s="339" t="s">
        <v>41</v>
      </c>
      <c r="K83" s="339">
        <v>0</v>
      </c>
      <c r="L83" s="339" t="s">
        <v>53</v>
      </c>
      <c r="M83" s="339" t="s">
        <v>44</v>
      </c>
      <c r="N83" s="339" t="s">
        <v>44</v>
      </c>
      <c r="O83" s="339"/>
      <c r="P83" s="339" t="s">
        <v>45</v>
      </c>
      <c r="Q83" s="339"/>
      <c r="R83" s="339"/>
      <c r="S83" s="340" t="s">
        <v>444</v>
      </c>
      <c r="T83" s="341">
        <v>0.75</v>
      </c>
      <c r="U83" s="342"/>
      <c r="V83" s="343"/>
      <c r="W83" s="344"/>
      <c r="X83" s="345" cm="1">
        <f t="array" ref="X83">IF(Y83="",W83,_xlfn.XLOOKUP(Y83,$Y$2:Y82,$AC$2:AC82,W83,0,-1))</f>
        <v>0</v>
      </c>
      <c r="Y83" s="336"/>
      <c r="Z83" s="377"/>
      <c r="AA83" s="374">
        <f t="shared" si="10"/>
        <v>0</v>
      </c>
      <c r="AB83" s="336">
        <f t="shared" si="11"/>
        <v>0</v>
      </c>
      <c r="AC83" s="336">
        <f t="shared" si="12"/>
        <v>0</v>
      </c>
      <c r="AD83" s="336"/>
      <c r="AE83" s="346">
        <f>AA83/Sankey_diag!$H$62</f>
        <v>0</v>
      </c>
      <c r="AF83" s="336"/>
      <c r="AG83" s="336" t="s">
        <v>77</v>
      </c>
      <c r="AH83" s="347"/>
    </row>
    <row r="84" spans="1:34" ht="57.6" x14ac:dyDescent="0.3">
      <c r="A84" t="s">
        <v>445</v>
      </c>
      <c r="B84" s="459"/>
      <c r="C84" s="316" t="s">
        <v>439</v>
      </c>
      <c r="D84" s="456"/>
      <c r="E84" s="315" t="s">
        <v>2897</v>
      </c>
      <c r="F84" s="316" t="s">
        <v>447</v>
      </c>
      <c r="G84" s="326" t="s">
        <v>448</v>
      </c>
      <c r="H84" s="330"/>
      <c r="I84" s="330" t="s">
        <v>449</v>
      </c>
      <c r="J84" s="330" t="s">
        <v>41</v>
      </c>
      <c r="K84" s="330">
        <v>1</v>
      </c>
      <c r="L84" s="330" t="s">
        <v>42</v>
      </c>
      <c r="M84" s="330" t="s">
        <v>111</v>
      </c>
      <c r="N84" s="330" t="s">
        <v>43</v>
      </c>
      <c r="O84" s="330"/>
      <c r="P84" s="330" t="s">
        <v>45</v>
      </c>
      <c r="Q84" s="330"/>
      <c r="R84" s="330"/>
      <c r="S84" s="348" t="s">
        <v>450</v>
      </c>
      <c r="T84" s="311">
        <v>0.7</v>
      </c>
      <c r="U84" s="332"/>
      <c r="V84" s="349"/>
      <c r="W84" s="322"/>
      <c r="X84" s="317" cm="1">
        <f t="array" ref="X84">IF(Y84="",W84,_xlfn.XLOOKUP(Y84,$Y$2:Y83,$AC$2:AC83,W84,0,-1))</f>
        <v>0</v>
      </c>
      <c r="Y84" s="316"/>
      <c r="Z84" s="319"/>
      <c r="AA84" s="375">
        <f t="shared" si="10"/>
        <v>0</v>
      </c>
      <c r="AB84" s="316">
        <f t="shared" si="11"/>
        <v>0</v>
      </c>
      <c r="AC84" s="316">
        <f t="shared" si="12"/>
        <v>0</v>
      </c>
      <c r="AD84" s="316"/>
      <c r="AE84" s="320">
        <f>AA84/Sankey_diag!$H$62</f>
        <v>0</v>
      </c>
      <c r="AF84" s="316"/>
      <c r="AG84" s="316"/>
      <c r="AH84" s="350"/>
    </row>
    <row r="85" spans="1:34" ht="40.35" customHeight="1" x14ac:dyDescent="0.3">
      <c r="A85" t="s">
        <v>451</v>
      </c>
      <c r="B85" s="459"/>
      <c r="C85" s="316" t="s">
        <v>439</v>
      </c>
      <c r="D85" s="456"/>
      <c r="E85" s="456" t="s">
        <v>452</v>
      </c>
      <c r="F85" s="316" t="s">
        <v>453</v>
      </c>
      <c r="G85" s="326" t="s">
        <v>454</v>
      </c>
      <c r="H85" s="330"/>
      <c r="I85" s="330" t="s">
        <v>455</v>
      </c>
      <c r="J85" s="330" t="s">
        <v>41</v>
      </c>
      <c r="K85" s="330">
        <v>1</v>
      </c>
      <c r="L85" s="330" t="s">
        <v>86</v>
      </c>
      <c r="M85" s="330" t="s">
        <v>43</v>
      </c>
      <c r="N85" s="330" t="s">
        <v>44</v>
      </c>
      <c r="O85" s="330"/>
      <c r="P85" s="330" t="s">
        <v>45</v>
      </c>
      <c r="Q85" s="330"/>
      <c r="R85" s="330"/>
      <c r="S85" s="348" t="s">
        <v>456</v>
      </c>
      <c r="T85" s="311">
        <v>0.7</v>
      </c>
      <c r="U85" s="332"/>
      <c r="V85" s="349"/>
      <c r="W85" s="322"/>
      <c r="X85" s="317" cm="1">
        <f t="array" ref="X85">IF(Y85="",W85,_xlfn.XLOOKUP(Y85,$Y$2:Y84,$AC$2:AC84,W85,0,-1))</f>
        <v>0</v>
      </c>
      <c r="Y85" s="316"/>
      <c r="Z85" s="319">
        <v>0.6</v>
      </c>
      <c r="AA85" s="375">
        <f t="shared" si="10"/>
        <v>0</v>
      </c>
      <c r="AB85" s="316">
        <f t="shared" si="11"/>
        <v>0</v>
      </c>
      <c r="AC85" s="316">
        <f t="shared" si="12"/>
        <v>0</v>
      </c>
      <c r="AD85" s="316"/>
      <c r="AE85" s="320">
        <f>AA85/Sankey_diag!$H$62</f>
        <v>0</v>
      </c>
      <c r="AF85" s="316"/>
      <c r="AG85" s="316"/>
      <c r="AH85" s="350"/>
    </row>
    <row r="86" spans="1:34" ht="44.4" customHeight="1" x14ac:dyDescent="0.3">
      <c r="B86" s="459"/>
      <c r="C86" s="316"/>
      <c r="D86" s="456"/>
      <c r="E86" s="456"/>
      <c r="F86" s="316"/>
      <c r="G86" s="326" t="s">
        <v>457</v>
      </c>
      <c r="H86" s="330"/>
      <c r="I86" s="330"/>
      <c r="J86" s="330"/>
      <c r="K86" s="330"/>
      <c r="L86" s="330"/>
      <c r="M86" s="330"/>
      <c r="N86" s="330"/>
      <c r="O86" s="330"/>
      <c r="P86" s="330"/>
      <c r="Q86" s="330"/>
      <c r="R86" s="330"/>
      <c r="S86" s="348" t="s">
        <v>458</v>
      </c>
      <c r="T86" s="311">
        <v>0.7</v>
      </c>
      <c r="U86" s="332"/>
      <c r="V86" s="349"/>
      <c r="W86" s="322"/>
      <c r="X86" s="317"/>
      <c r="Y86" s="316"/>
      <c r="Z86" s="319"/>
      <c r="AA86" s="375"/>
      <c r="AB86" s="316"/>
      <c r="AC86" s="316"/>
      <c r="AD86" s="316"/>
      <c r="AE86" s="320"/>
      <c r="AF86" s="316"/>
      <c r="AG86" s="316"/>
      <c r="AH86" s="350"/>
    </row>
    <row r="87" spans="1:34" x14ac:dyDescent="0.3">
      <c r="A87" t="s">
        <v>459</v>
      </c>
      <c r="B87" s="459"/>
      <c r="C87" s="316" t="s">
        <v>439</v>
      </c>
      <c r="D87" s="456"/>
      <c r="E87" s="456" t="s">
        <v>2898</v>
      </c>
      <c r="F87" s="316" t="s">
        <v>461</v>
      </c>
      <c r="G87" s="326" t="s">
        <v>462</v>
      </c>
      <c r="H87" s="330"/>
      <c r="I87" s="330" t="s">
        <v>463</v>
      </c>
      <c r="J87" s="330" t="s">
        <v>41</v>
      </c>
      <c r="K87" s="330">
        <v>0</v>
      </c>
      <c r="L87" s="330" t="s">
        <v>42</v>
      </c>
      <c r="M87" s="330" t="s">
        <v>43</v>
      </c>
      <c r="N87" s="330" t="s">
        <v>44</v>
      </c>
      <c r="O87" s="330"/>
      <c r="P87" s="330" t="s">
        <v>119</v>
      </c>
      <c r="Q87" s="330"/>
      <c r="R87" s="330"/>
      <c r="S87" s="348" t="s">
        <v>464</v>
      </c>
      <c r="T87" s="310">
        <v>1</v>
      </c>
      <c r="U87" s="332">
        <v>0</v>
      </c>
      <c r="V87" s="349"/>
      <c r="W87" s="322"/>
      <c r="X87" s="317" cm="1">
        <f t="array" ref="X87">IF(Y87="",W87,_xlfn.XLOOKUP(Y87,$Y$2:Y85,$AC$2:AC85,W87,0,-1))</f>
        <v>0</v>
      </c>
      <c r="Y87" s="316"/>
      <c r="Z87" s="316"/>
      <c r="AA87" s="375">
        <f t="shared" si="10"/>
        <v>0</v>
      </c>
      <c r="AB87" s="316">
        <f t="shared" si="11"/>
        <v>0</v>
      </c>
      <c r="AC87" s="316">
        <f t="shared" si="12"/>
        <v>0</v>
      </c>
      <c r="AD87" s="316"/>
      <c r="AE87" s="320">
        <f>AA87/Sankey_diag!$H$62</f>
        <v>0</v>
      </c>
      <c r="AF87" s="316"/>
      <c r="AG87" s="316" t="s">
        <v>356</v>
      </c>
      <c r="AH87" s="350" t="s">
        <v>465</v>
      </c>
    </row>
    <row r="88" spans="1:34" x14ac:dyDescent="0.3">
      <c r="A88" t="s">
        <v>466</v>
      </c>
      <c r="B88" s="459"/>
      <c r="C88" s="316" t="s">
        <v>439</v>
      </c>
      <c r="D88" s="456"/>
      <c r="E88" s="456"/>
      <c r="F88" s="316" t="s">
        <v>467</v>
      </c>
      <c r="G88" s="326" t="s">
        <v>467</v>
      </c>
      <c r="H88" s="330"/>
      <c r="I88" s="330"/>
      <c r="J88" s="330" t="s">
        <v>41</v>
      </c>
      <c r="K88" s="330">
        <v>0</v>
      </c>
      <c r="L88" s="330" t="s">
        <v>53</v>
      </c>
      <c r="M88" s="330" t="s">
        <v>43</v>
      </c>
      <c r="N88" s="330" t="s">
        <v>43</v>
      </c>
      <c r="O88" s="330"/>
      <c r="P88" s="330" t="s">
        <v>106</v>
      </c>
      <c r="Q88" s="330"/>
      <c r="R88" s="330"/>
      <c r="S88" s="348" t="s">
        <v>468</v>
      </c>
      <c r="T88" s="311">
        <v>1</v>
      </c>
      <c r="U88" s="332"/>
      <c r="V88" s="349"/>
      <c r="W88" s="322"/>
      <c r="X88" s="317" cm="1">
        <f t="array" ref="X88">IF(Y88="",W88,_xlfn.XLOOKUP(Y88,$Y$2:Y87,$AC$2:AC87,W88,0,-1))</f>
        <v>0</v>
      </c>
      <c r="Y88" s="316"/>
      <c r="Z88" s="319">
        <v>0.15</v>
      </c>
      <c r="AA88" s="375">
        <f t="shared" si="10"/>
        <v>0</v>
      </c>
      <c r="AB88" s="316">
        <f t="shared" si="11"/>
        <v>0</v>
      </c>
      <c r="AC88" s="316">
        <f t="shared" si="12"/>
        <v>0</v>
      </c>
      <c r="AD88" s="316"/>
      <c r="AE88" s="320">
        <f>AA88/Sankey_diag!$H$62</f>
        <v>0</v>
      </c>
      <c r="AF88" s="316"/>
      <c r="AG88" s="316"/>
      <c r="AH88" s="350"/>
    </row>
    <row r="89" spans="1:34" x14ac:dyDescent="0.3">
      <c r="B89" s="459"/>
      <c r="C89" s="316" t="s">
        <v>439</v>
      </c>
      <c r="D89" s="456"/>
      <c r="E89" s="456"/>
      <c r="F89" s="316" t="s">
        <v>469</v>
      </c>
      <c r="G89" s="326" t="s">
        <v>469</v>
      </c>
      <c r="H89" s="330"/>
      <c r="I89" s="330" t="s">
        <v>470</v>
      </c>
      <c r="J89" s="330" t="s">
        <v>41</v>
      </c>
      <c r="K89" s="330"/>
      <c r="L89" s="330" t="s">
        <v>53</v>
      </c>
      <c r="M89" s="330" t="s">
        <v>44</v>
      </c>
      <c r="N89" s="330" t="s">
        <v>44</v>
      </c>
      <c r="O89" s="330"/>
      <c r="P89" s="330" t="s">
        <v>45</v>
      </c>
      <c r="Q89" s="330"/>
      <c r="R89" s="330"/>
      <c r="S89" s="348" t="s">
        <v>471</v>
      </c>
      <c r="T89" s="310">
        <v>4</v>
      </c>
      <c r="U89" s="332"/>
      <c r="V89" s="349"/>
      <c r="W89" s="322"/>
      <c r="X89" s="317" cm="1">
        <f t="array" ref="X89">IF(Y89="",W89,_xlfn.XLOOKUP(Y89,$Y$2:Y88,$AC$2:AC88,W89,0,-1))</f>
        <v>0</v>
      </c>
      <c r="Y89" s="316"/>
      <c r="Z89" s="316"/>
      <c r="AA89" s="375">
        <f t="shared" si="10"/>
        <v>0</v>
      </c>
      <c r="AB89" s="316">
        <f t="shared" si="11"/>
        <v>0</v>
      </c>
      <c r="AC89" s="316">
        <f t="shared" si="12"/>
        <v>0</v>
      </c>
      <c r="AD89" s="316"/>
      <c r="AE89" s="320">
        <f>AA89/Sankey_diag!$H$62</f>
        <v>0</v>
      </c>
      <c r="AF89" s="316"/>
      <c r="AG89" s="316"/>
      <c r="AH89" s="350"/>
    </row>
    <row r="90" spans="1:34" x14ac:dyDescent="0.3">
      <c r="A90" t="s">
        <v>472</v>
      </c>
      <c r="B90" s="459"/>
      <c r="C90" s="316" t="s">
        <v>439</v>
      </c>
      <c r="D90" s="456"/>
      <c r="E90" s="456"/>
      <c r="F90" s="316" t="s">
        <v>473</v>
      </c>
      <c r="G90" s="326" t="s">
        <v>474</v>
      </c>
      <c r="H90" s="330"/>
      <c r="I90" s="330" t="s">
        <v>475</v>
      </c>
      <c r="J90" s="330" t="s">
        <v>41</v>
      </c>
      <c r="K90" s="330">
        <v>2</v>
      </c>
      <c r="L90" s="330" t="s">
        <v>86</v>
      </c>
      <c r="M90" s="330" t="s">
        <v>44</v>
      </c>
      <c r="N90" s="330" t="s">
        <v>44</v>
      </c>
      <c r="O90" s="330"/>
      <c r="P90" s="330" t="s">
        <v>106</v>
      </c>
      <c r="Q90" s="330"/>
      <c r="R90" s="330"/>
      <c r="S90" s="348" t="s">
        <v>476</v>
      </c>
      <c r="T90" s="310">
        <v>1</v>
      </c>
      <c r="U90" s="332">
        <v>0</v>
      </c>
      <c r="V90" s="349"/>
      <c r="W90" s="322"/>
      <c r="X90" s="317" cm="1">
        <f t="array" ref="X90">IF(Y90="",W90,_xlfn.XLOOKUP(Y90,$Y$2:Y89,$AC$2:AC89,W90,0,-1))</f>
        <v>0</v>
      </c>
      <c r="Y90" s="316"/>
      <c r="Z90" s="319">
        <v>0.01</v>
      </c>
      <c r="AA90" s="375">
        <f t="shared" si="10"/>
        <v>0</v>
      </c>
      <c r="AB90" s="316">
        <f t="shared" si="11"/>
        <v>0</v>
      </c>
      <c r="AC90" s="316">
        <f t="shared" si="12"/>
        <v>0</v>
      </c>
      <c r="AD90" s="316"/>
      <c r="AE90" s="320">
        <f>AA90/Sankey_diag!$H$62</f>
        <v>0</v>
      </c>
      <c r="AF90" s="316"/>
      <c r="AG90" s="316"/>
      <c r="AH90" s="350"/>
    </row>
    <row r="91" spans="1:34" ht="28.8" x14ac:dyDescent="0.3">
      <c r="A91" t="s">
        <v>477</v>
      </c>
      <c r="B91" s="459"/>
      <c r="C91" s="316" t="s">
        <v>439</v>
      </c>
      <c r="D91" s="456"/>
      <c r="E91" s="456" t="s">
        <v>2899</v>
      </c>
      <c r="F91" s="316" t="s">
        <v>479</v>
      </c>
      <c r="G91" s="326" t="s">
        <v>479</v>
      </c>
      <c r="H91" s="330"/>
      <c r="I91" s="330" t="s">
        <v>480</v>
      </c>
      <c r="J91" s="330" t="s">
        <v>41</v>
      </c>
      <c r="K91" s="330">
        <v>2</v>
      </c>
      <c r="L91" s="330" t="s">
        <v>53</v>
      </c>
      <c r="M91" s="330" t="s">
        <v>44</v>
      </c>
      <c r="N91" s="330" t="s">
        <v>44</v>
      </c>
      <c r="O91" s="330"/>
      <c r="P91" s="330" t="s">
        <v>45</v>
      </c>
      <c r="Q91" s="330"/>
      <c r="R91" s="330"/>
      <c r="S91" s="348" t="s">
        <v>481</v>
      </c>
      <c r="T91" s="310">
        <v>1</v>
      </c>
      <c r="U91" s="332">
        <v>0</v>
      </c>
      <c r="V91" s="349"/>
      <c r="W91" s="322"/>
      <c r="X91" s="317" cm="1">
        <f t="array" ref="X91">IF(Y91="",W91,_xlfn.XLOOKUP(Y91,$Y$2:Y90,$AC$2:AC90,W91,0,-1))</f>
        <v>0</v>
      </c>
      <c r="Y91" s="316"/>
      <c r="Z91" s="319">
        <v>0.01</v>
      </c>
      <c r="AA91" s="375">
        <f t="shared" ref="AA91:AA106" si="16">(T91-U91)*Z91*W91</f>
        <v>0</v>
      </c>
      <c r="AB91" s="316">
        <f t="shared" ref="AB91:AB106" si="17">(T91-U91)*Z91*X91</f>
        <v>0</v>
      </c>
      <c r="AC91" s="316">
        <f t="shared" ref="AC91:AC106" si="18">X91-AB91</f>
        <v>0</v>
      </c>
      <c r="AD91" s="316"/>
      <c r="AE91" s="320">
        <f>AA91/Sankey_diag!$H$62</f>
        <v>0</v>
      </c>
      <c r="AF91" s="316"/>
      <c r="AG91" s="316"/>
      <c r="AH91" s="350"/>
    </row>
    <row r="92" spans="1:34" ht="15" thickBot="1" x14ac:dyDescent="0.35">
      <c r="A92" t="s">
        <v>482</v>
      </c>
      <c r="B92" s="460"/>
      <c r="C92" s="351" t="s">
        <v>439</v>
      </c>
      <c r="D92" s="457"/>
      <c r="E92" s="457"/>
      <c r="F92" s="351" t="s">
        <v>483</v>
      </c>
      <c r="G92" s="353" t="s">
        <v>483</v>
      </c>
      <c r="H92" s="354"/>
      <c r="I92" s="354"/>
      <c r="J92" s="354" t="s">
        <v>41</v>
      </c>
      <c r="K92" s="354">
        <v>3</v>
      </c>
      <c r="L92" s="354" t="s">
        <v>86</v>
      </c>
      <c r="M92" s="354" t="s">
        <v>44</v>
      </c>
      <c r="N92" s="354" t="s">
        <v>44</v>
      </c>
      <c r="O92" s="354"/>
      <c r="P92" s="354" t="s">
        <v>45</v>
      </c>
      <c r="Q92" s="354"/>
      <c r="R92" s="354"/>
      <c r="S92" s="356"/>
      <c r="T92" s="388"/>
      <c r="U92" s="358"/>
      <c r="V92" s="359"/>
      <c r="W92" s="368"/>
      <c r="X92" s="361" cm="1">
        <f t="array" ref="X92">IF(Y92="",W92,_xlfn.XLOOKUP(Y92,$Y$2:Y91,$AC$2:AC91,W92,0,-1))</f>
        <v>0</v>
      </c>
      <c r="Y92" s="351"/>
      <c r="Z92" s="351"/>
      <c r="AA92" s="376">
        <f t="shared" si="16"/>
        <v>0</v>
      </c>
      <c r="AB92" s="351">
        <f t="shared" si="17"/>
        <v>0</v>
      </c>
      <c r="AC92" s="351">
        <f t="shared" si="18"/>
        <v>0</v>
      </c>
      <c r="AD92" s="351"/>
      <c r="AE92" s="362">
        <f>AA92/Sankey_diag!$H$62</f>
        <v>0</v>
      </c>
      <c r="AF92" s="351"/>
      <c r="AG92" s="351" t="s">
        <v>484</v>
      </c>
      <c r="AH92" s="363"/>
    </row>
    <row r="93" spans="1:34" ht="15" thickTop="1" x14ac:dyDescent="0.3">
      <c r="A93" t="s">
        <v>485</v>
      </c>
      <c r="B93" s="458" t="s">
        <v>2881</v>
      </c>
      <c r="C93" s="336"/>
      <c r="D93" s="455" t="s">
        <v>2887</v>
      </c>
      <c r="E93" s="455" t="s">
        <v>2900</v>
      </c>
      <c r="F93" s="336" t="s">
        <v>489</v>
      </c>
      <c r="G93" s="338" t="s">
        <v>490</v>
      </c>
      <c r="H93" s="339"/>
      <c r="I93" s="339"/>
      <c r="J93" s="339" t="s">
        <v>41</v>
      </c>
      <c r="K93" s="339">
        <v>0</v>
      </c>
      <c r="L93" s="339" t="s">
        <v>53</v>
      </c>
      <c r="M93" s="339" t="s">
        <v>44</v>
      </c>
      <c r="N93" s="339" t="s">
        <v>44</v>
      </c>
      <c r="O93" s="339"/>
      <c r="P93" s="339" t="s">
        <v>106</v>
      </c>
      <c r="Q93" s="339"/>
      <c r="R93" s="339"/>
      <c r="S93" s="340" t="s">
        <v>491</v>
      </c>
      <c r="T93" s="390">
        <v>1</v>
      </c>
      <c r="U93" s="342"/>
      <c r="V93" s="343"/>
      <c r="W93" s="344"/>
      <c r="X93" s="345" cm="1">
        <f t="array" ref="X93">IF(Y93="",W93,_xlfn.XLOOKUP(Y93,$Y$2:Y92,$AC$2:AC92,W93,0,-1))</f>
        <v>0</v>
      </c>
      <c r="Y93" s="336"/>
      <c r="Z93" s="336"/>
      <c r="AA93" s="374">
        <f t="shared" si="16"/>
        <v>0</v>
      </c>
      <c r="AB93" s="378">
        <f t="shared" si="17"/>
        <v>0</v>
      </c>
      <c r="AC93" s="378">
        <f t="shared" si="18"/>
        <v>0</v>
      </c>
      <c r="AD93" s="378"/>
      <c r="AE93" s="346">
        <f>AA93/Sankey_diag!$H$62</f>
        <v>0</v>
      </c>
      <c r="AF93" s="378"/>
      <c r="AG93" s="336" t="s">
        <v>492</v>
      </c>
      <c r="AH93" s="347"/>
    </row>
    <row r="94" spans="1:34" ht="28.8" x14ac:dyDescent="0.3">
      <c r="A94" t="s">
        <v>493</v>
      </c>
      <c r="B94" s="459"/>
      <c r="C94" s="316"/>
      <c r="D94" s="456"/>
      <c r="E94" s="456"/>
      <c r="F94" s="316" t="s">
        <v>494</v>
      </c>
      <c r="G94" s="326" t="s">
        <v>495</v>
      </c>
      <c r="H94" s="330"/>
      <c r="I94" s="330" t="s">
        <v>496</v>
      </c>
      <c r="J94" s="330" t="s">
        <v>41</v>
      </c>
      <c r="K94" s="330">
        <v>7</v>
      </c>
      <c r="L94" s="330" t="s">
        <v>86</v>
      </c>
      <c r="M94" s="330" t="s">
        <v>44</v>
      </c>
      <c r="N94" s="330" t="s">
        <v>43</v>
      </c>
      <c r="O94" s="330"/>
      <c r="P94" s="330" t="s">
        <v>106</v>
      </c>
      <c r="Q94" s="330"/>
      <c r="R94" s="330"/>
      <c r="S94" s="348" t="s">
        <v>497</v>
      </c>
      <c r="T94" s="311">
        <v>1</v>
      </c>
      <c r="U94" s="332"/>
      <c r="V94" s="349"/>
      <c r="W94" s="322"/>
      <c r="X94" s="317" cm="1">
        <f t="array" ref="X94">IF(Y94="",W94,_xlfn.XLOOKUP(Y94,$Y$2:Y93,$AC$2:AC93,W94,0,-1))</f>
        <v>0</v>
      </c>
      <c r="Y94" s="316"/>
      <c r="Z94" s="316"/>
      <c r="AA94" s="375">
        <f t="shared" si="16"/>
        <v>0</v>
      </c>
      <c r="AB94" s="323">
        <f t="shared" si="17"/>
        <v>0</v>
      </c>
      <c r="AC94" s="323">
        <f t="shared" si="18"/>
        <v>0</v>
      </c>
      <c r="AD94" s="323"/>
      <c r="AE94" s="320">
        <f>AA94/Sankey_diag!$H$62</f>
        <v>0</v>
      </c>
      <c r="AF94" s="323"/>
      <c r="AG94" s="316" t="s">
        <v>492</v>
      </c>
      <c r="AH94" s="350" t="s">
        <v>498</v>
      </c>
    </row>
    <row r="95" spans="1:34" ht="28.8" x14ac:dyDescent="0.3">
      <c r="A95" t="s">
        <v>499</v>
      </c>
      <c r="B95" s="459"/>
      <c r="C95" s="316"/>
      <c r="D95" s="456"/>
      <c r="E95" s="456"/>
      <c r="F95" s="316" t="s">
        <v>500</v>
      </c>
      <c r="G95" s="326" t="s">
        <v>500</v>
      </c>
      <c r="H95" s="330"/>
      <c r="I95" s="330" t="s">
        <v>501</v>
      </c>
      <c r="J95" s="330" t="s">
        <v>41</v>
      </c>
      <c r="K95" s="330">
        <v>8</v>
      </c>
      <c r="L95" s="330" t="s">
        <v>86</v>
      </c>
      <c r="M95" s="330" t="s">
        <v>43</v>
      </c>
      <c r="N95" s="330" t="s">
        <v>43</v>
      </c>
      <c r="O95" s="330" t="s">
        <v>502</v>
      </c>
      <c r="P95" s="330" t="s">
        <v>106</v>
      </c>
      <c r="Q95" s="330"/>
      <c r="R95" s="330"/>
      <c r="S95" s="348" t="s">
        <v>503</v>
      </c>
      <c r="T95" s="311">
        <v>0.2</v>
      </c>
      <c r="U95" s="332"/>
      <c r="V95" s="349"/>
      <c r="W95" s="322">
        <f>Sankey_diag!N38+Sankey_diag!N42</f>
        <v>521.31289218330505</v>
      </c>
      <c r="X95" s="317" cm="1">
        <f t="array" ref="X95">IF(Y95="",W95,_xlfn.XLOOKUP(Y95,$Y$2:Y94,$AC$2:AC94,W95,0,-1))</f>
        <v>521.31289218330505</v>
      </c>
      <c r="Y95" s="316"/>
      <c r="Z95" s="319">
        <v>0.03</v>
      </c>
      <c r="AA95" s="375">
        <f t="shared" si="16"/>
        <v>3.1278773530998305</v>
      </c>
      <c r="AB95" s="323">
        <f t="shared" si="17"/>
        <v>3.1278773530998305</v>
      </c>
      <c r="AC95" s="323">
        <f t="shared" si="18"/>
        <v>518.1850148302052</v>
      </c>
      <c r="AD95" s="323"/>
      <c r="AE95" s="320">
        <f>AA95/Sankey_diag!$H$62</f>
        <v>8.5108151348484813E-4</v>
      </c>
      <c r="AF95" s="323"/>
      <c r="AG95" s="316"/>
      <c r="AH95" s="350"/>
    </row>
    <row r="96" spans="1:34" x14ac:dyDescent="0.3">
      <c r="A96" t="s">
        <v>504</v>
      </c>
      <c r="B96" s="459"/>
      <c r="C96" s="316"/>
      <c r="D96" s="456"/>
      <c r="E96" s="456"/>
      <c r="F96" s="316" t="s">
        <v>505</v>
      </c>
      <c r="G96" s="326" t="s">
        <v>506</v>
      </c>
      <c r="H96" s="330"/>
      <c r="I96" s="330" t="s">
        <v>507</v>
      </c>
      <c r="J96" s="330" t="s">
        <v>41</v>
      </c>
      <c r="K96" s="330">
        <v>2</v>
      </c>
      <c r="L96" s="330" t="s">
        <v>42</v>
      </c>
      <c r="M96" s="330" t="s">
        <v>43</v>
      </c>
      <c r="N96" s="330" t="s">
        <v>43</v>
      </c>
      <c r="O96" s="330"/>
      <c r="P96" s="330" t="s">
        <v>119</v>
      </c>
      <c r="Q96" s="330"/>
      <c r="R96" s="330"/>
      <c r="S96" s="348"/>
      <c r="T96" s="310"/>
      <c r="U96" s="332"/>
      <c r="V96" s="349"/>
      <c r="W96" s="322"/>
      <c r="X96" s="317" cm="1">
        <f t="array" ref="X96">IF(Y96="",W96,_xlfn.XLOOKUP(Y96,$Y$2:Y95,$AC$2:AC95,W96,0,-1))</f>
        <v>0</v>
      </c>
      <c r="Y96" s="316"/>
      <c r="Z96" s="316"/>
      <c r="AA96" s="375">
        <f t="shared" si="16"/>
        <v>0</v>
      </c>
      <c r="AB96" s="316">
        <f t="shared" si="17"/>
        <v>0</v>
      </c>
      <c r="AC96" s="316">
        <f t="shared" si="18"/>
        <v>0</v>
      </c>
      <c r="AD96" s="316"/>
      <c r="AE96" s="320">
        <f>AA96/Sankey_diag!$H$62</f>
        <v>0</v>
      </c>
      <c r="AF96" s="316"/>
      <c r="AG96" s="316"/>
      <c r="AH96" s="350"/>
    </row>
    <row r="97" spans="1:34" x14ac:dyDescent="0.3">
      <c r="B97" s="459"/>
      <c r="C97" s="316"/>
      <c r="D97" s="456"/>
      <c r="E97" s="456"/>
      <c r="F97" s="316" t="s">
        <v>508</v>
      </c>
      <c r="G97" s="326" t="s">
        <v>509</v>
      </c>
      <c r="H97" s="330"/>
      <c r="I97" s="330" t="s">
        <v>510</v>
      </c>
      <c r="J97" s="330" t="s">
        <v>52</v>
      </c>
      <c r="K97" s="330"/>
      <c r="L97" s="330" t="s">
        <v>42</v>
      </c>
      <c r="M97" s="330"/>
      <c r="N97" s="330"/>
      <c r="O97" s="330"/>
      <c r="P97" s="330" t="s">
        <v>87</v>
      </c>
      <c r="Q97" s="330"/>
      <c r="R97" s="330"/>
      <c r="S97" s="348" t="s">
        <v>511</v>
      </c>
      <c r="T97" s="310">
        <v>1</v>
      </c>
      <c r="U97" s="332">
        <v>0</v>
      </c>
      <c r="V97" s="349"/>
      <c r="W97" s="324"/>
      <c r="X97" s="317" cm="1">
        <f t="array" ref="X97">IF(Y97="",W97,_xlfn.XLOOKUP(Y97,$Y$2:Y96,$AC$2:AC96,W97,0,-1))</f>
        <v>0</v>
      </c>
      <c r="Y97" s="316"/>
      <c r="Z97" s="316"/>
      <c r="AA97" s="375">
        <f t="shared" ref="AA97" si="19">(T97-U97)*Z97*W97</f>
        <v>0</v>
      </c>
      <c r="AB97" s="316">
        <f t="shared" ref="AB97" si="20">(T97-U97)*Z97*X97</f>
        <v>0</v>
      </c>
      <c r="AC97" s="316">
        <f t="shared" ref="AC97" si="21">X97-AB97</f>
        <v>0</v>
      </c>
      <c r="AD97" s="316"/>
      <c r="AE97" s="320">
        <f>AA97/Sankey_diag!$H$62</f>
        <v>0</v>
      </c>
      <c r="AF97" s="316"/>
      <c r="AG97" s="316" t="s">
        <v>512</v>
      </c>
      <c r="AH97" s="350"/>
    </row>
    <row r="98" spans="1:34" ht="28.8" x14ac:dyDescent="0.3">
      <c r="B98" s="459"/>
      <c r="C98" s="316"/>
      <c r="D98" s="456"/>
      <c r="E98" s="456"/>
      <c r="F98" s="316" t="s">
        <v>513</v>
      </c>
      <c r="G98" s="326" t="s">
        <v>514</v>
      </c>
      <c r="H98" s="330"/>
      <c r="I98" s="330"/>
      <c r="J98" s="330" t="s">
        <v>52</v>
      </c>
      <c r="K98" s="330"/>
      <c r="L98" s="330" t="s">
        <v>86</v>
      </c>
      <c r="M98" s="330"/>
      <c r="N98" s="330"/>
      <c r="O98" s="330"/>
      <c r="P98" s="330" t="s">
        <v>106</v>
      </c>
      <c r="Q98" s="330"/>
      <c r="R98" s="330"/>
      <c r="S98" s="348" t="s">
        <v>515</v>
      </c>
      <c r="T98" s="310">
        <v>1</v>
      </c>
      <c r="U98" s="332"/>
      <c r="V98" s="349"/>
      <c r="W98" s="324"/>
      <c r="X98" s="317" cm="1">
        <f t="array" ref="X98">IF(Y98="",W98,_xlfn.XLOOKUP(Y98,$Y$2:Y96,$AC$2:AC96,W98,0,-1))</f>
        <v>0</v>
      </c>
      <c r="Y98" s="316"/>
      <c r="Z98" s="316"/>
      <c r="AA98" s="375">
        <f t="shared" si="16"/>
        <v>0</v>
      </c>
      <c r="AB98" s="316">
        <f t="shared" si="17"/>
        <v>0</v>
      </c>
      <c r="AC98" s="316">
        <f t="shared" si="18"/>
        <v>0</v>
      </c>
      <c r="AD98" s="316"/>
      <c r="AE98" s="320">
        <f>AA98/Sankey_diag!$H$62</f>
        <v>0</v>
      </c>
      <c r="AF98" s="316"/>
      <c r="AG98" s="316" t="s">
        <v>516</v>
      </c>
      <c r="AH98" s="350" t="s">
        <v>77</v>
      </c>
    </row>
    <row r="99" spans="1:34" x14ac:dyDescent="0.3">
      <c r="B99" s="459"/>
      <c r="C99" s="316"/>
      <c r="D99" s="456"/>
      <c r="E99" s="456"/>
      <c r="F99" s="316" t="s">
        <v>517</v>
      </c>
      <c r="G99" s="326" t="s">
        <v>517</v>
      </c>
      <c r="H99" s="330"/>
      <c r="I99" s="330" t="s">
        <v>518</v>
      </c>
      <c r="J99" s="330" t="s">
        <v>52</v>
      </c>
      <c r="K99" s="330"/>
      <c r="L99" s="330" t="s">
        <v>86</v>
      </c>
      <c r="M99" s="330"/>
      <c r="N99" s="330"/>
      <c r="O99" s="330"/>
      <c r="P99" s="330" t="s">
        <v>87</v>
      </c>
      <c r="Q99" s="330"/>
      <c r="R99" s="330"/>
      <c r="S99" s="348" t="s">
        <v>519</v>
      </c>
      <c r="T99" s="310">
        <v>1</v>
      </c>
      <c r="U99" s="332"/>
      <c r="V99" s="349"/>
      <c r="W99" s="324"/>
      <c r="X99" s="317" cm="1">
        <f t="array" ref="X99">IF(Y99="",W99,_xlfn.XLOOKUP(Y99,$Y$2:Y98,$AC$2:AC98,W99,0,-1))</f>
        <v>0</v>
      </c>
      <c r="Y99" s="316"/>
      <c r="Z99" s="316"/>
      <c r="AA99" s="375">
        <f>(T99-U99)*Z99*W99</f>
        <v>0</v>
      </c>
      <c r="AB99" s="316">
        <f t="shared" ref="AB99" si="22">(T99-U99)*Z99*X99</f>
        <v>0</v>
      </c>
      <c r="AC99" s="316">
        <f t="shared" ref="AC99" si="23">X99-AB99</f>
        <v>0</v>
      </c>
      <c r="AD99" s="316"/>
      <c r="AE99" s="320">
        <f>AA99/Sankey_diag!$H$62</f>
        <v>0</v>
      </c>
      <c r="AF99" s="316"/>
      <c r="AG99" s="330" t="s">
        <v>520</v>
      </c>
      <c r="AH99" s="350" t="s">
        <v>516</v>
      </c>
    </row>
    <row r="100" spans="1:34" x14ac:dyDescent="0.3">
      <c r="B100" s="459"/>
      <c r="C100" s="316"/>
      <c r="D100" s="456"/>
      <c r="E100" s="456"/>
      <c r="F100" s="316" t="s">
        <v>521</v>
      </c>
      <c r="G100" s="326" t="s">
        <v>522</v>
      </c>
      <c r="H100" s="330"/>
      <c r="I100" s="330" t="s">
        <v>523</v>
      </c>
      <c r="J100" s="330" t="s">
        <v>52</v>
      </c>
      <c r="K100" s="330"/>
      <c r="L100" s="330" t="s">
        <v>86</v>
      </c>
      <c r="M100" s="330" t="s">
        <v>111</v>
      </c>
      <c r="N100" s="330" t="s">
        <v>111</v>
      </c>
      <c r="O100" s="330"/>
      <c r="P100" s="330" t="s">
        <v>106</v>
      </c>
      <c r="Q100" s="330"/>
      <c r="R100" s="330"/>
      <c r="S100" s="348" t="s">
        <v>524</v>
      </c>
      <c r="T100" s="310">
        <f>250*4</f>
        <v>1000</v>
      </c>
      <c r="U100" s="332"/>
      <c r="V100" s="349"/>
      <c r="W100" s="324"/>
      <c r="X100" s="317" cm="1">
        <f t="array" ref="X100">IF(Y100="",W100,_xlfn.XLOOKUP(Y100,$Y$2:Y98,$AC$2:AC98,W100,0,-1))</f>
        <v>0</v>
      </c>
      <c r="Y100" s="316"/>
      <c r="Z100" s="316"/>
      <c r="AA100" s="375">
        <f>0.25*T100/250</f>
        <v>1</v>
      </c>
      <c r="AB100" s="316">
        <f>(T100-U100)*AA100*X100</f>
        <v>0</v>
      </c>
      <c r="AC100" s="316">
        <f t="shared" si="18"/>
        <v>0</v>
      </c>
      <c r="AD100" s="316"/>
      <c r="AE100" s="320" t="e">
        <f>#REF!/Sankey_diag!$H$62</f>
        <v>#REF!</v>
      </c>
      <c r="AF100" s="316"/>
      <c r="AG100" s="316" t="s">
        <v>516</v>
      </c>
      <c r="AH100" s="350" t="s">
        <v>525</v>
      </c>
    </row>
    <row r="101" spans="1:34" ht="28.8" x14ac:dyDescent="0.3">
      <c r="B101" s="459"/>
      <c r="C101" s="316"/>
      <c r="D101" s="456"/>
      <c r="E101" s="456"/>
      <c r="F101" s="316" t="s">
        <v>526</v>
      </c>
      <c r="G101" s="326" t="s">
        <v>527</v>
      </c>
      <c r="H101" s="330"/>
      <c r="I101" s="330" t="s">
        <v>528</v>
      </c>
      <c r="J101" s="330" t="s">
        <v>52</v>
      </c>
      <c r="K101" s="330"/>
      <c r="L101" s="330" t="s">
        <v>53</v>
      </c>
      <c r="M101" s="330" t="s">
        <v>111</v>
      </c>
      <c r="N101" s="330" t="s">
        <v>111</v>
      </c>
      <c r="O101" s="330"/>
      <c r="P101" s="330" t="s">
        <v>106</v>
      </c>
      <c r="Q101" s="330"/>
      <c r="R101" s="330"/>
      <c r="S101" s="348" t="s">
        <v>529</v>
      </c>
      <c r="T101" s="310">
        <v>150</v>
      </c>
      <c r="U101" s="332"/>
      <c r="V101" s="349"/>
      <c r="W101" s="324"/>
      <c r="X101" s="317" cm="1">
        <f t="array" ref="X101">IF(Y101="",W101,_xlfn.XLOOKUP(Y101,$Y$2:Y100,$AC$2:AC100,W101,0,-1))</f>
        <v>0</v>
      </c>
      <c r="Y101" s="316"/>
      <c r="Z101" s="316"/>
      <c r="AA101" s="375">
        <f>0.025*T101</f>
        <v>3.75</v>
      </c>
      <c r="AB101" s="316">
        <f>(T101-U101)*AA101*X101</f>
        <v>0</v>
      </c>
      <c r="AC101" s="316">
        <f t="shared" si="18"/>
        <v>0</v>
      </c>
      <c r="AD101" s="316"/>
      <c r="AE101" s="320" t="e">
        <f>#REF!/Sankey_diag!$H$62</f>
        <v>#REF!</v>
      </c>
      <c r="AF101" s="316"/>
      <c r="AG101" s="316" t="s">
        <v>530</v>
      </c>
      <c r="AH101" s="350"/>
    </row>
    <row r="102" spans="1:34" ht="28.8" x14ac:dyDescent="0.3">
      <c r="B102" s="459"/>
      <c r="C102" s="316"/>
      <c r="D102" s="456"/>
      <c r="E102" s="456"/>
      <c r="F102" s="316" t="s">
        <v>531</v>
      </c>
      <c r="G102" s="327" t="s">
        <v>532</v>
      </c>
      <c r="H102" s="330"/>
      <c r="I102" s="330" t="s">
        <v>533</v>
      </c>
      <c r="J102" s="330" t="s">
        <v>52</v>
      </c>
      <c r="K102" s="330"/>
      <c r="L102" s="330" t="s">
        <v>53</v>
      </c>
      <c r="M102" s="330"/>
      <c r="N102" s="330"/>
      <c r="O102" s="330"/>
      <c r="P102" s="330" t="s">
        <v>106</v>
      </c>
      <c r="Q102" s="330"/>
      <c r="R102" s="330"/>
      <c r="S102" s="348" t="s">
        <v>534</v>
      </c>
      <c r="T102" s="310">
        <v>150</v>
      </c>
      <c r="U102" s="332"/>
      <c r="V102" s="349"/>
      <c r="W102" s="322"/>
      <c r="X102" s="317" cm="1">
        <f t="array" ref="X102">IF(Y102="",W102,_xlfn.XLOOKUP(Y102,$Y$2:Y101,$AC$2:AC101,W102,0,-1))</f>
        <v>0</v>
      </c>
      <c r="Y102" s="316"/>
      <c r="Z102" s="316"/>
      <c r="AA102" s="375">
        <f>0.025*T102</f>
        <v>3.75</v>
      </c>
      <c r="AB102" s="316">
        <f>(T102-U102)*AA102*X102</f>
        <v>0</v>
      </c>
      <c r="AC102" s="316">
        <f t="shared" si="18"/>
        <v>0</v>
      </c>
      <c r="AD102" s="316"/>
      <c r="AE102" s="320" t="e">
        <f>#REF!/Sankey_diag!$H$62</f>
        <v>#REF!</v>
      </c>
      <c r="AF102" s="316"/>
      <c r="AG102" s="316" t="s">
        <v>535</v>
      </c>
      <c r="AH102" s="350"/>
    </row>
    <row r="103" spans="1:34" ht="28.8" x14ac:dyDescent="0.3">
      <c r="A103" t="s">
        <v>536</v>
      </c>
      <c r="B103" s="459"/>
      <c r="C103" s="316"/>
      <c r="D103" s="456"/>
      <c r="E103" s="456" t="s">
        <v>2901</v>
      </c>
      <c r="F103" s="316" t="s">
        <v>538</v>
      </c>
      <c r="G103" s="326" t="s">
        <v>539</v>
      </c>
      <c r="H103" s="330"/>
      <c r="I103" s="330" t="s">
        <v>540</v>
      </c>
      <c r="J103" s="330" t="s">
        <v>41</v>
      </c>
      <c r="K103" s="330">
        <v>2</v>
      </c>
      <c r="L103" s="330" t="s">
        <v>86</v>
      </c>
      <c r="M103" s="330" t="s">
        <v>44</v>
      </c>
      <c r="N103" s="330" t="s">
        <v>44</v>
      </c>
      <c r="O103" s="330" t="s">
        <v>541</v>
      </c>
      <c r="P103" s="330" t="s">
        <v>45</v>
      </c>
      <c r="Q103" s="330"/>
      <c r="R103" s="330"/>
      <c r="S103" s="348" t="s">
        <v>542</v>
      </c>
      <c r="T103" s="310">
        <v>2</v>
      </c>
      <c r="U103" s="332"/>
      <c r="V103" s="349"/>
      <c r="W103" s="322"/>
      <c r="X103" s="317" cm="1">
        <f t="array" ref="X103">IF(Y103="",W103,_xlfn.XLOOKUP(Y103,$Y$2:Y102,$AC$2:AC102,W103,0,-1))</f>
        <v>0</v>
      </c>
      <c r="Y103" s="316"/>
      <c r="Z103" s="316"/>
      <c r="AA103" s="375">
        <f t="shared" si="16"/>
        <v>0</v>
      </c>
      <c r="AB103" s="323">
        <f t="shared" si="17"/>
        <v>0</v>
      </c>
      <c r="AC103" s="323">
        <f t="shared" si="18"/>
        <v>0</v>
      </c>
      <c r="AD103" s="323"/>
      <c r="AE103" s="320">
        <f>AA103/Sankey_diag!$H$62</f>
        <v>0</v>
      </c>
      <c r="AF103" s="323"/>
      <c r="AG103" s="316" t="s">
        <v>77</v>
      </c>
      <c r="AH103" s="350" t="s">
        <v>498</v>
      </c>
    </row>
    <row r="104" spans="1:34" x14ac:dyDescent="0.3">
      <c r="A104" t="s">
        <v>543</v>
      </c>
      <c r="B104" s="459"/>
      <c r="C104" s="316"/>
      <c r="D104" s="456"/>
      <c r="E104" s="456"/>
      <c r="F104" s="316" t="s">
        <v>544</v>
      </c>
      <c r="G104" s="326" t="s">
        <v>545</v>
      </c>
      <c r="H104" s="330"/>
      <c r="I104" s="330" t="s">
        <v>546</v>
      </c>
      <c r="J104" s="330" t="s">
        <v>41</v>
      </c>
      <c r="K104" s="330">
        <v>10</v>
      </c>
      <c r="L104" s="330" t="s">
        <v>53</v>
      </c>
      <c r="M104" s="330" t="s">
        <v>44</v>
      </c>
      <c r="N104" s="330" t="s">
        <v>44</v>
      </c>
      <c r="O104" s="330" t="s">
        <v>547</v>
      </c>
      <c r="P104" s="330" t="s">
        <v>106</v>
      </c>
      <c r="Q104" s="330"/>
      <c r="R104" s="330"/>
      <c r="S104" s="348" t="s">
        <v>548</v>
      </c>
      <c r="T104" s="310">
        <v>10</v>
      </c>
      <c r="U104" s="332"/>
      <c r="V104" s="349"/>
      <c r="W104" s="322"/>
      <c r="X104" s="317" cm="1">
        <f t="array" ref="X104">IF(Y104="",W104,_xlfn.XLOOKUP(Y104,$Y$2:Y103,$AC$2:AC103,W104,0,-1))</f>
        <v>0</v>
      </c>
      <c r="Y104" s="316"/>
      <c r="Z104" s="316"/>
      <c r="AA104" s="375">
        <f t="shared" si="16"/>
        <v>0</v>
      </c>
      <c r="AB104" s="316">
        <f t="shared" si="17"/>
        <v>0</v>
      </c>
      <c r="AC104" s="316">
        <f t="shared" si="18"/>
        <v>0</v>
      </c>
      <c r="AD104" s="316"/>
      <c r="AE104" s="320">
        <f>AA104/Sankey_diag!$H$62</f>
        <v>0</v>
      </c>
      <c r="AF104" s="316"/>
      <c r="AG104" s="316" t="s">
        <v>516</v>
      </c>
      <c r="AH104" s="350" t="s">
        <v>429</v>
      </c>
    </row>
    <row r="105" spans="1:34" ht="43.8" thickBot="1" x14ac:dyDescent="0.35">
      <c r="A105" t="s">
        <v>549</v>
      </c>
      <c r="B105" s="460"/>
      <c r="C105" s="351"/>
      <c r="D105" s="457"/>
      <c r="E105" s="352" t="s">
        <v>2902</v>
      </c>
      <c r="F105" s="351" t="s">
        <v>551</v>
      </c>
      <c r="G105" s="353" t="s">
        <v>552</v>
      </c>
      <c r="H105" s="354"/>
      <c r="I105" s="354" t="s">
        <v>553</v>
      </c>
      <c r="J105" s="354" t="s">
        <v>41</v>
      </c>
      <c r="K105" s="354">
        <v>3</v>
      </c>
      <c r="L105" s="354" t="s">
        <v>86</v>
      </c>
      <c r="M105" s="354" t="s">
        <v>43</v>
      </c>
      <c r="N105" s="354" t="s">
        <v>43</v>
      </c>
      <c r="O105" s="354" t="s">
        <v>554</v>
      </c>
      <c r="P105" s="354" t="s">
        <v>106</v>
      </c>
      <c r="Q105" s="354"/>
      <c r="R105" s="354"/>
      <c r="S105" s="356"/>
      <c r="T105" s="388"/>
      <c r="U105" s="358"/>
      <c r="V105" s="359"/>
      <c r="W105" s="368"/>
      <c r="X105" s="361" cm="1">
        <f t="array" ref="X105">IF(Y105="",W105,_xlfn.XLOOKUP(Y105,$Y$2:Y104,$AC$2:AC104,W105,0,-1))</f>
        <v>0</v>
      </c>
      <c r="Y105" s="351"/>
      <c r="Z105" s="351"/>
      <c r="AA105" s="376">
        <f t="shared" si="16"/>
        <v>0</v>
      </c>
      <c r="AB105" s="351">
        <f t="shared" si="17"/>
        <v>0</v>
      </c>
      <c r="AC105" s="351">
        <f t="shared" si="18"/>
        <v>0</v>
      </c>
      <c r="AD105" s="351"/>
      <c r="AE105" s="362">
        <f>AA105/Sankey_diag!$H$62</f>
        <v>0</v>
      </c>
      <c r="AF105" s="351"/>
      <c r="AG105" s="351" t="s">
        <v>516</v>
      </c>
      <c r="AH105" s="363" t="s">
        <v>71</v>
      </c>
    </row>
    <row r="106" spans="1:34" ht="29.4" customHeight="1" thickTop="1" x14ac:dyDescent="0.3">
      <c r="A106" t="s">
        <v>555</v>
      </c>
      <c r="B106" s="458" t="s">
        <v>2876</v>
      </c>
      <c r="C106" s="336" t="s">
        <v>557</v>
      </c>
      <c r="D106" s="455" t="s">
        <v>2851</v>
      </c>
      <c r="E106" s="455" t="s">
        <v>558</v>
      </c>
      <c r="F106" s="336" t="s">
        <v>559</v>
      </c>
      <c r="G106" s="338" t="s">
        <v>559</v>
      </c>
      <c r="H106" s="339"/>
      <c r="I106" s="339" t="s">
        <v>560</v>
      </c>
      <c r="J106" s="339" t="s">
        <v>41</v>
      </c>
      <c r="K106" s="339"/>
      <c r="L106" s="339" t="s">
        <v>42</v>
      </c>
      <c r="M106" s="339" t="s">
        <v>111</v>
      </c>
      <c r="N106" s="339" t="s">
        <v>111</v>
      </c>
      <c r="O106" s="339"/>
      <c r="P106" s="339" t="s">
        <v>45</v>
      </c>
      <c r="Q106" s="339"/>
      <c r="R106" s="339"/>
      <c r="S106" s="340" t="s">
        <v>561</v>
      </c>
      <c r="T106" s="364">
        <v>0.5</v>
      </c>
      <c r="U106" s="370">
        <f>5/52</f>
        <v>9.6153846153846159E-2</v>
      </c>
      <c r="V106" s="343">
        <v>2024</v>
      </c>
      <c r="W106" s="344">
        <f>SUM(Sankey_diag!$N$23:$N$28)</f>
        <v>198.35</v>
      </c>
      <c r="X106" s="345" cm="1">
        <f t="array" ref="X106">IF(Y106="",W106,_xlfn.XLOOKUP(Y106,$Y$2:Y105,$AC$2:AC105,W106,0,-1))</f>
        <v>198.35</v>
      </c>
      <c r="Y106" s="336">
        <v>10</v>
      </c>
      <c r="Z106" s="371">
        <f>(0.16*0.03/0.17-1)*-1</f>
        <v>0.97176470588235297</v>
      </c>
      <c r="AA106" s="374">
        <f t="shared" si="16"/>
        <v>77.841156108597289</v>
      </c>
      <c r="AB106" s="336">
        <f t="shared" si="17"/>
        <v>77.841156108597289</v>
      </c>
      <c r="AC106" s="336">
        <f t="shared" si="18"/>
        <v>120.50884389140271</v>
      </c>
      <c r="AD106" s="336"/>
      <c r="AE106" s="346">
        <f>AA106/Sankey_diag!$H$62</f>
        <v>2.1180232302478286E-2</v>
      </c>
      <c r="AF106" s="336"/>
      <c r="AG106" s="336" t="s">
        <v>562</v>
      </c>
      <c r="AH106" s="347" t="s">
        <v>77</v>
      </c>
    </row>
    <row r="107" spans="1:34" x14ac:dyDescent="0.3">
      <c r="A107" t="s">
        <v>563</v>
      </c>
      <c r="B107" s="459"/>
      <c r="C107" s="316" t="s">
        <v>557</v>
      </c>
      <c r="D107" s="456"/>
      <c r="E107" s="456"/>
      <c r="F107" s="316" t="s">
        <v>564</v>
      </c>
      <c r="G107" s="326" t="s">
        <v>565</v>
      </c>
      <c r="H107" s="330"/>
      <c r="I107" s="330"/>
      <c r="J107" s="330" t="s">
        <v>41</v>
      </c>
      <c r="K107" s="330">
        <v>0</v>
      </c>
      <c r="L107" s="330" t="s">
        <v>86</v>
      </c>
      <c r="M107" s="330" t="s">
        <v>43</v>
      </c>
      <c r="N107" s="330" t="s">
        <v>43</v>
      </c>
      <c r="O107" s="330" t="s">
        <v>566</v>
      </c>
      <c r="P107" s="330" t="s">
        <v>45</v>
      </c>
      <c r="Q107" s="330"/>
      <c r="R107" s="330"/>
      <c r="S107" s="348" t="s">
        <v>567</v>
      </c>
      <c r="T107" s="310"/>
      <c r="U107" s="332"/>
      <c r="V107" s="349"/>
      <c r="W107" s="316"/>
      <c r="X107" s="316"/>
      <c r="Y107" s="316"/>
      <c r="Z107" s="316"/>
      <c r="AA107" s="375"/>
      <c r="AB107" s="316"/>
      <c r="AC107" s="316"/>
      <c r="AD107" s="316"/>
      <c r="AE107" s="320">
        <f>AA107/Sankey_diag!$H$62</f>
        <v>0</v>
      </c>
      <c r="AF107" s="316"/>
      <c r="AG107" s="316"/>
      <c r="AH107" s="350"/>
    </row>
    <row r="108" spans="1:34" x14ac:dyDescent="0.3">
      <c r="A108" t="s">
        <v>568</v>
      </c>
      <c r="B108" s="459"/>
      <c r="C108" s="316" t="s">
        <v>569</v>
      </c>
      <c r="D108" s="456"/>
      <c r="E108" s="456" t="s">
        <v>570</v>
      </c>
      <c r="F108" s="316" t="s">
        <v>571</v>
      </c>
      <c r="G108" s="326" t="s">
        <v>572</v>
      </c>
      <c r="H108" s="330"/>
      <c r="I108" s="330" t="s">
        <v>573</v>
      </c>
      <c r="J108" s="330" t="s">
        <v>41</v>
      </c>
      <c r="K108" s="330">
        <v>0</v>
      </c>
      <c r="L108" s="330" t="s">
        <v>53</v>
      </c>
      <c r="M108" s="330" t="s">
        <v>574</v>
      </c>
      <c r="N108" s="330" t="s">
        <v>574</v>
      </c>
      <c r="O108" s="330" t="s">
        <v>566</v>
      </c>
      <c r="P108" s="330" t="s">
        <v>45</v>
      </c>
      <c r="Q108" s="330"/>
      <c r="R108" s="330"/>
      <c r="S108" s="348" t="s">
        <v>575</v>
      </c>
      <c r="T108" s="312"/>
      <c r="U108" s="332"/>
      <c r="V108" s="349"/>
      <c r="W108" s="322">
        <f>Sankey_diag!K3</f>
        <v>633.02056871462128</v>
      </c>
      <c r="X108" s="317" cm="1">
        <f t="array" ref="X108">IF(Y108="",W108,_xlfn.XLOOKUP(Y108,$Y$2:Y107,$AC$2:AC107,W108,0,-1))</f>
        <v>633.02056871462128</v>
      </c>
      <c r="Y108" s="316"/>
      <c r="Z108" s="319">
        <v>0.01</v>
      </c>
      <c r="AA108" s="375">
        <f>Z108*W108</f>
        <v>6.3302056871462131</v>
      </c>
      <c r="AB108" s="384">
        <f>Z108*X108</f>
        <v>6.3302056871462131</v>
      </c>
      <c r="AC108" s="316">
        <f t="shared" ref="AC108:AC117" si="24">X108-AB108</f>
        <v>626.69036302747509</v>
      </c>
      <c r="AD108" s="316"/>
      <c r="AE108" s="320">
        <f>AA108/Sankey_diag!$H$62</f>
        <v>1.7224208076917016E-3</v>
      </c>
      <c r="AF108" s="316"/>
      <c r="AG108" s="316"/>
      <c r="AH108" s="350"/>
    </row>
    <row r="109" spans="1:34" x14ac:dyDescent="0.3">
      <c r="A109" t="s">
        <v>576</v>
      </c>
      <c r="B109" s="459"/>
      <c r="C109" s="316" t="s">
        <v>557</v>
      </c>
      <c r="D109" s="456"/>
      <c r="E109" s="456"/>
      <c r="F109" s="316" t="s">
        <v>577</v>
      </c>
      <c r="G109" s="326" t="s">
        <v>577</v>
      </c>
      <c r="H109" s="330"/>
      <c r="I109" s="330"/>
      <c r="J109" s="330" t="s">
        <v>41</v>
      </c>
      <c r="K109" s="330">
        <v>0</v>
      </c>
      <c r="L109" s="330" t="s">
        <v>42</v>
      </c>
      <c r="M109" s="330" t="s">
        <v>44</v>
      </c>
      <c r="N109" s="330" t="s">
        <v>44</v>
      </c>
      <c r="O109" s="330"/>
      <c r="P109" s="330" t="s">
        <v>87</v>
      </c>
      <c r="Q109" s="330"/>
      <c r="R109" s="330"/>
      <c r="S109" s="348" t="s">
        <v>578</v>
      </c>
      <c r="T109" s="312">
        <v>0.01</v>
      </c>
      <c r="U109" s="332"/>
      <c r="V109" s="349"/>
      <c r="W109" s="322"/>
      <c r="X109" s="317"/>
      <c r="Y109" s="316"/>
      <c r="Z109" s="380"/>
      <c r="AA109" s="375"/>
      <c r="AB109" s="316"/>
      <c r="AC109" s="316"/>
      <c r="AD109" s="316"/>
      <c r="AE109" s="320">
        <f>AA109/Sankey_diag!$H$62</f>
        <v>0</v>
      </c>
      <c r="AF109" s="316"/>
      <c r="AG109" s="316"/>
      <c r="AH109" s="350"/>
    </row>
    <row r="110" spans="1:34" x14ac:dyDescent="0.3">
      <c r="A110" t="s">
        <v>579</v>
      </c>
      <c r="B110" s="459"/>
      <c r="C110" s="316" t="s">
        <v>557</v>
      </c>
      <c r="D110" s="456"/>
      <c r="E110" s="456"/>
      <c r="F110" s="316" t="s">
        <v>580</v>
      </c>
      <c r="G110" s="326" t="s">
        <v>580</v>
      </c>
      <c r="H110" s="330"/>
      <c r="I110" s="330"/>
      <c r="J110" s="330" t="s">
        <v>41</v>
      </c>
      <c r="K110" s="330">
        <v>3</v>
      </c>
      <c r="L110" s="330" t="s">
        <v>42</v>
      </c>
      <c r="M110" s="330" t="s">
        <v>43</v>
      </c>
      <c r="N110" s="330" t="s">
        <v>44</v>
      </c>
      <c r="O110" s="330" t="s">
        <v>581</v>
      </c>
      <c r="P110" s="330" t="s">
        <v>119</v>
      </c>
      <c r="Q110" s="330"/>
      <c r="R110" s="330"/>
      <c r="S110" s="348" t="s">
        <v>582</v>
      </c>
      <c r="T110" s="312">
        <v>0.3</v>
      </c>
      <c r="U110" s="334">
        <v>0</v>
      </c>
      <c r="V110" s="349"/>
      <c r="W110" s="322"/>
      <c r="X110" s="317"/>
      <c r="Y110" s="316"/>
      <c r="Z110" s="319"/>
      <c r="AA110" s="375"/>
      <c r="AB110" s="316"/>
      <c r="AC110" s="316"/>
      <c r="AD110" s="316"/>
      <c r="AE110" s="320">
        <f>AA110/Sankey_diag!$H$62</f>
        <v>0</v>
      </c>
      <c r="AF110" s="316"/>
      <c r="AG110" s="316"/>
      <c r="AH110" s="350"/>
    </row>
    <row r="111" spans="1:34" ht="28.8" x14ac:dyDescent="0.3">
      <c r="A111" t="s">
        <v>583</v>
      </c>
      <c r="B111" s="459"/>
      <c r="C111" s="316" t="s">
        <v>584</v>
      </c>
      <c r="D111" s="456"/>
      <c r="E111" s="456"/>
      <c r="F111" s="316" t="s">
        <v>585</v>
      </c>
      <c r="G111" s="326" t="s">
        <v>585</v>
      </c>
      <c r="H111" s="330"/>
      <c r="I111" s="330"/>
      <c r="J111" s="330" t="s">
        <v>41</v>
      </c>
      <c r="K111" s="330">
        <v>1</v>
      </c>
      <c r="L111" s="330" t="s">
        <v>53</v>
      </c>
      <c r="M111" s="330" t="s">
        <v>44</v>
      </c>
      <c r="N111" s="330" t="s">
        <v>44</v>
      </c>
      <c r="O111" s="330"/>
      <c r="P111" s="330" t="s">
        <v>45</v>
      </c>
      <c r="Q111" s="330"/>
      <c r="R111" s="330"/>
      <c r="S111" s="348" t="s">
        <v>586</v>
      </c>
      <c r="T111" s="312">
        <v>0.5</v>
      </c>
      <c r="U111" s="332"/>
      <c r="V111" s="349"/>
      <c r="W111" s="322"/>
      <c r="X111" s="317" cm="1">
        <f t="array" ref="X111">IF(Y111="",W111,_xlfn.XLOOKUP(Y111,$Y$2:Y110,$AC$2:AC110,W111,0,-1))</f>
        <v>0</v>
      </c>
      <c r="Y111" s="316"/>
      <c r="Z111" s="318">
        <v>1</v>
      </c>
      <c r="AA111" s="375">
        <f t="shared" ref="AA111:AA119" si="25">(T111-U111)*Z111*W111</f>
        <v>0</v>
      </c>
      <c r="AB111" s="316">
        <f t="shared" ref="AB111:AB117" si="26">(T111-U111)*Z111*X111</f>
        <v>0</v>
      </c>
      <c r="AC111" s="316">
        <f t="shared" si="24"/>
        <v>0</v>
      </c>
      <c r="AD111" s="316"/>
      <c r="AE111" s="320">
        <f>AA111/Sankey_diag!$H$62</f>
        <v>0</v>
      </c>
      <c r="AF111" s="316"/>
      <c r="AG111" s="316"/>
      <c r="AH111" s="350"/>
    </row>
    <row r="112" spans="1:34" x14ac:dyDescent="0.3">
      <c r="B112" s="459"/>
      <c r="C112" s="316" t="s">
        <v>569</v>
      </c>
      <c r="D112" s="456"/>
      <c r="E112" s="456"/>
      <c r="F112" s="391" t="s">
        <v>587</v>
      </c>
      <c r="G112" s="329" t="s">
        <v>588</v>
      </c>
      <c r="H112" s="330"/>
      <c r="I112" s="330"/>
      <c r="J112" s="330" t="s">
        <v>52</v>
      </c>
      <c r="K112" s="330"/>
      <c r="L112" s="330" t="s">
        <v>86</v>
      </c>
      <c r="M112" s="330" t="s">
        <v>43</v>
      </c>
      <c r="N112" s="330" t="s">
        <v>43</v>
      </c>
      <c r="O112" s="330"/>
      <c r="P112" s="330" t="s">
        <v>45</v>
      </c>
      <c r="Q112" s="330"/>
      <c r="R112" s="330"/>
      <c r="S112" s="348" t="s">
        <v>589</v>
      </c>
      <c r="T112" s="312">
        <v>0.5</v>
      </c>
      <c r="U112" s="332" t="s">
        <v>590</v>
      </c>
      <c r="V112" s="349"/>
      <c r="W112" s="322"/>
      <c r="X112" s="317"/>
      <c r="Y112" s="316"/>
      <c r="Z112" s="319"/>
      <c r="AA112" s="375"/>
      <c r="AB112" s="316"/>
      <c r="AC112" s="316"/>
      <c r="AD112" s="316"/>
      <c r="AE112" s="320">
        <f>AA112/Sankey_diag!$H$62</f>
        <v>0</v>
      </c>
      <c r="AF112" s="316"/>
      <c r="AG112" s="330" t="s">
        <v>591</v>
      </c>
      <c r="AH112" s="350" t="s">
        <v>592</v>
      </c>
    </row>
    <row r="113" spans="1:34" ht="43.2" x14ac:dyDescent="0.3">
      <c r="B113" s="459"/>
      <c r="C113" s="316" t="s">
        <v>569</v>
      </c>
      <c r="D113" s="456"/>
      <c r="E113" s="456"/>
      <c r="F113" s="316" t="s">
        <v>593</v>
      </c>
      <c r="G113" s="326" t="s">
        <v>594</v>
      </c>
      <c r="H113" s="330"/>
      <c r="I113" s="330" t="s">
        <v>595</v>
      </c>
      <c r="J113" s="330" t="s">
        <v>52</v>
      </c>
      <c r="K113" s="330"/>
      <c r="L113" s="330"/>
      <c r="M113" s="330"/>
      <c r="N113" s="330"/>
      <c r="O113" s="330"/>
      <c r="P113" s="330"/>
      <c r="Q113" s="330"/>
      <c r="R113" s="330"/>
      <c r="S113" s="348" t="s">
        <v>596</v>
      </c>
      <c r="T113" s="312">
        <v>0.2</v>
      </c>
      <c r="U113" s="332" t="s">
        <v>590</v>
      </c>
      <c r="V113" s="349"/>
      <c r="W113" s="322"/>
      <c r="X113" s="317"/>
      <c r="Y113" s="316"/>
      <c r="Z113" s="380"/>
      <c r="AA113" s="375"/>
      <c r="AB113" s="316"/>
      <c r="AC113" s="316"/>
      <c r="AD113" s="316"/>
      <c r="AE113" s="320">
        <f>AA113/Sankey_diag!$H$62</f>
        <v>0</v>
      </c>
      <c r="AF113" s="316"/>
      <c r="AG113" s="316" t="s">
        <v>597</v>
      </c>
      <c r="AH113" s="350"/>
    </row>
    <row r="114" spans="1:34" ht="28.8" x14ac:dyDescent="0.3">
      <c r="B114" s="459"/>
      <c r="C114" s="316" t="s">
        <v>569</v>
      </c>
      <c r="D114" s="456"/>
      <c r="E114" s="456"/>
      <c r="F114" s="316" t="s">
        <v>598</v>
      </c>
      <c r="G114" s="326" t="s">
        <v>599</v>
      </c>
      <c r="H114" s="330"/>
      <c r="I114" s="330" t="s">
        <v>600</v>
      </c>
      <c r="J114" s="330" t="s">
        <v>52</v>
      </c>
      <c r="K114" s="330"/>
      <c r="L114" s="330" t="s">
        <v>86</v>
      </c>
      <c r="M114" s="330" t="s">
        <v>43</v>
      </c>
      <c r="N114" s="330" t="s">
        <v>43</v>
      </c>
      <c r="O114" s="330"/>
      <c r="P114" s="330" t="s">
        <v>45</v>
      </c>
      <c r="Q114" s="330"/>
      <c r="R114" s="330"/>
      <c r="S114" s="348" t="s">
        <v>601</v>
      </c>
      <c r="T114" s="312">
        <v>0.2</v>
      </c>
      <c r="U114" s="332" t="s">
        <v>590</v>
      </c>
      <c r="V114" s="349"/>
      <c r="W114" s="322"/>
      <c r="X114" s="317"/>
      <c r="Y114" s="316"/>
      <c r="Z114" s="319"/>
      <c r="AA114" s="375"/>
      <c r="AB114" s="316"/>
      <c r="AC114" s="316"/>
      <c r="AD114" s="316"/>
      <c r="AE114" s="320">
        <f>AA114/Sankey_diag!$H$62</f>
        <v>0</v>
      </c>
      <c r="AF114" s="316"/>
      <c r="AG114" s="316" t="s">
        <v>597</v>
      </c>
      <c r="AH114" s="350" t="s">
        <v>592</v>
      </c>
    </row>
    <row r="115" spans="1:34" ht="28.8" x14ac:dyDescent="0.3">
      <c r="B115" s="459"/>
      <c r="C115" s="316" t="s">
        <v>557</v>
      </c>
      <c r="D115" s="456"/>
      <c r="E115" s="456"/>
      <c r="F115" s="316" t="s">
        <v>602</v>
      </c>
      <c r="G115" s="326" t="s">
        <v>603</v>
      </c>
      <c r="H115" s="330"/>
      <c r="I115" s="330"/>
      <c r="J115" s="330" t="s">
        <v>52</v>
      </c>
      <c r="K115" s="330"/>
      <c r="L115" s="330"/>
      <c r="M115" s="330"/>
      <c r="N115" s="330"/>
      <c r="O115" s="330"/>
      <c r="P115" s="330"/>
      <c r="Q115" s="330"/>
      <c r="R115" s="330"/>
      <c r="S115" s="348" t="s">
        <v>604</v>
      </c>
      <c r="T115" s="312">
        <v>0.2</v>
      </c>
      <c r="U115" s="334">
        <v>0</v>
      </c>
      <c r="V115" s="349"/>
      <c r="W115" s="322">
        <f>Sankey_diag!N20</f>
        <v>0.25067632254719996</v>
      </c>
      <c r="X115" s="317" cm="1">
        <f t="array" ref="X115">IF(Y115="",W115,_xlfn.XLOOKUP(Y115,$Y$2:Y114,$AC$2:AC114,W115,0,-1))</f>
        <v>0.25067632254719996</v>
      </c>
      <c r="Y115" s="316">
        <v>11</v>
      </c>
      <c r="Z115" s="318">
        <f>Z106</f>
        <v>0.97176470588235297</v>
      </c>
      <c r="AA115" s="375">
        <f t="shared" si="25"/>
        <v>4.8719680570349928E-2</v>
      </c>
      <c r="AB115" s="316">
        <f t="shared" si="26"/>
        <v>4.8719680570349928E-2</v>
      </c>
      <c r="AC115" s="316">
        <f t="shared" si="24"/>
        <v>0.20195664197685004</v>
      </c>
      <c r="AD115" s="316"/>
      <c r="AE115" s="320">
        <f>AA115/Sankey_diag!$H$62</f>
        <v>1.325640835476466E-5</v>
      </c>
      <c r="AF115" s="316"/>
      <c r="AG115" s="316" t="s">
        <v>597</v>
      </c>
      <c r="AH115" s="350"/>
    </row>
    <row r="116" spans="1:34" ht="43.2" x14ac:dyDescent="0.3">
      <c r="B116" s="459"/>
      <c r="C116" s="316" t="s">
        <v>557</v>
      </c>
      <c r="D116" s="456"/>
      <c r="E116" s="456"/>
      <c r="F116" s="316" t="s">
        <v>605</v>
      </c>
      <c r="G116" s="326" t="s">
        <v>606</v>
      </c>
      <c r="H116" s="330"/>
      <c r="I116" s="330"/>
      <c r="J116" s="330" t="s">
        <v>52</v>
      </c>
      <c r="K116" s="330"/>
      <c r="L116" s="330"/>
      <c r="M116" s="330"/>
      <c r="N116" s="330"/>
      <c r="O116" s="330"/>
      <c r="P116" s="330"/>
      <c r="Q116" s="330"/>
      <c r="R116" s="330"/>
      <c r="S116" s="348" t="s">
        <v>607</v>
      </c>
      <c r="T116" s="311">
        <v>1</v>
      </c>
      <c r="U116" s="332" t="s">
        <v>590</v>
      </c>
      <c r="V116" s="349"/>
      <c r="W116" s="322"/>
      <c r="X116" s="317"/>
      <c r="Y116" s="316"/>
      <c r="Z116" s="319"/>
      <c r="AA116" s="375"/>
      <c r="AB116" s="316"/>
      <c r="AC116" s="316"/>
      <c r="AD116" s="316"/>
      <c r="AE116" s="320">
        <f>AA116/Sankey_diag!$H$62</f>
        <v>0</v>
      </c>
      <c r="AF116" s="316"/>
      <c r="AG116" s="316" t="s">
        <v>77</v>
      </c>
      <c r="AH116" s="350" t="s">
        <v>562</v>
      </c>
    </row>
    <row r="117" spans="1:34" ht="44.1" customHeight="1" x14ac:dyDescent="0.3">
      <c r="B117" s="459"/>
      <c r="C117" s="316" t="s">
        <v>584</v>
      </c>
      <c r="D117" s="456"/>
      <c r="E117" s="456"/>
      <c r="F117" s="316" t="s">
        <v>608</v>
      </c>
      <c r="G117" s="326" t="s">
        <v>608</v>
      </c>
      <c r="H117" s="330"/>
      <c r="I117" s="326" t="s">
        <v>609</v>
      </c>
      <c r="J117" s="330" t="s">
        <v>52</v>
      </c>
      <c r="K117" s="330"/>
      <c r="L117" s="330" t="s">
        <v>42</v>
      </c>
      <c r="M117" s="330" t="s">
        <v>44</v>
      </c>
      <c r="N117" s="330" t="s">
        <v>44</v>
      </c>
      <c r="O117" s="330"/>
      <c r="P117" s="330" t="s">
        <v>119</v>
      </c>
      <c r="Q117" s="330"/>
      <c r="R117" s="330"/>
      <c r="S117" s="348" t="s">
        <v>610</v>
      </c>
      <c r="T117" s="311">
        <v>0.1</v>
      </c>
      <c r="U117" s="332">
        <v>0</v>
      </c>
      <c r="V117" s="349"/>
      <c r="W117" s="322">
        <f>SUM(Sankey_diag!N20,Sankey_diag!N21,Sankey_diag!N22,Sankey_diag!N25,Sankey_diag!N26,Sankey_diag!N27)</f>
        <v>180.78246032713798</v>
      </c>
      <c r="X117" s="317" cm="1">
        <f t="array" ref="X117">IF(Y117="",W117,_xlfn.XLOOKUP(Y117,$Y$2:Y116,$AC$2:AC116,W117,0,-1))</f>
        <v>0.20195664197685004</v>
      </c>
      <c r="Y117" s="316">
        <v>11</v>
      </c>
      <c r="Z117" s="319">
        <v>1</v>
      </c>
      <c r="AA117" s="375">
        <f t="shared" si="25"/>
        <v>18.0782460327138</v>
      </c>
      <c r="AB117" s="316">
        <f t="shared" si="26"/>
        <v>2.0195664197685006E-2</v>
      </c>
      <c r="AC117" s="316">
        <f t="shared" si="24"/>
        <v>0.18176097777916503</v>
      </c>
      <c r="AD117" s="316"/>
      <c r="AE117" s="320">
        <f>AA117/Sankey_diag!$H$62</f>
        <v>4.9190103248215322E-3</v>
      </c>
      <c r="AF117" s="316"/>
      <c r="AG117" s="316" t="s">
        <v>597</v>
      </c>
      <c r="AH117" s="350"/>
    </row>
    <row r="118" spans="1:34" ht="13.35" customHeight="1" x14ac:dyDescent="0.3">
      <c r="B118" s="459"/>
      <c r="C118" s="316" t="s">
        <v>557</v>
      </c>
      <c r="D118" s="456"/>
      <c r="E118" s="456"/>
      <c r="F118" s="316" t="s">
        <v>611</v>
      </c>
      <c r="G118" s="326" t="s">
        <v>611</v>
      </c>
      <c r="H118" s="330"/>
      <c r="I118" s="330"/>
      <c r="J118" s="330" t="s">
        <v>41</v>
      </c>
      <c r="K118" s="330"/>
      <c r="L118" s="330" t="s">
        <v>86</v>
      </c>
      <c r="M118" s="330" t="s">
        <v>111</v>
      </c>
      <c r="N118" s="330" t="s">
        <v>43</v>
      </c>
      <c r="O118" s="330"/>
      <c r="P118" s="330" t="s">
        <v>45</v>
      </c>
      <c r="Q118" s="330"/>
      <c r="R118" s="330"/>
      <c r="S118" s="348" t="s">
        <v>612</v>
      </c>
      <c r="T118" s="311">
        <v>0.1</v>
      </c>
      <c r="U118" s="332">
        <v>0</v>
      </c>
      <c r="V118" s="349"/>
      <c r="W118" s="316"/>
      <c r="X118" s="316"/>
      <c r="Y118" s="316"/>
      <c r="Z118" s="316"/>
      <c r="AA118" s="375"/>
      <c r="AB118" s="316"/>
      <c r="AC118" s="316"/>
      <c r="AD118" s="316"/>
      <c r="AE118" s="320">
        <f>AA118/Sankey_diag!$H$62</f>
        <v>0</v>
      </c>
      <c r="AF118" s="316"/>
      <c r="AG118" s="316"/>
      <c r="AH118" s="350"/>
    </row>
    <row r="119" spans="1:34" ht="28.8" x14ac:dyDescent="0.3">
      <c r="A119" t="s">
        <v>613</v>
      </c>
      <c r="B119" s="459"/>
      <c r="C119" s="316" t="s">
        <v>584</v>
      </c>
      <c r="D119" s="456"/>
      <c r="E119" s="456"/>
      <c r="F119" s="316" t="s">
        <v>614</v>
      </c>
      <c r="G119" s="326" t="s">
        <v>615</v>
      </c>
      <c r="H119" s="330"/>
      <c r="I119" s="330" t="s">
        <v>616</v>
      </c>
      <c r="J119" s="330" t="s">
        <v>41</v>
      </c>
      <c r="K119" s="330">
        <v>0</v>
      </c>
      <c r="L119" s="330" t="s">
        <v>42</v>
      </c>
      <c r="M119" s="330" t="s">
        <v>43</v>
      </c>
      <c r="N119" s="330" t="s">
        <v>43</v>
      </c>
      <c r="O119" s="330" t="s">
        <v>617</v>
      </c>
      <c r="P119" s="330" t="s">
        <v>119</v>
      </c>
      <c r="Q119" s="330"/>
      <c r="R119" s="330"/>
      <c r="S119" s="348" t="s">
        <v>618</v>
      </c>
      <c r="T119" s="311">
        <v>0.25</v>
      </c>
      <c r="U119" s="334">
        <v>0.02</v>
      </c>
      <c r="V119" s="349"/>
      <c r="W119" s="325">
        <f>SUM(Sankey_diag!K7,Sankey_diag!K11,Sankey_diag!K15)</f>
        <v>211.35236194303229</v>
      </c>
      <c r="X119" s="325">
        <f>W119</f>
        <v>211.35236194303229</v>
      </c>
      <c r="Y119" s="316"/>
      <c r="Z119" s="319">
        <f>97%/2</f>
        <v>0.48499999999999999</v>
      </c>
      <c r="AA119" s="375">
        <f t="shared" si="25"/>
        <v>23.576355974745251</v>
      </c>
      <c r="AB119" s="316"/>
      <c r="AC119" s="316"/>
      <c r="AD119" s="316"/>
      <c r="AE119" s="320">
        <f>AA119/Sankey_diag!$H$62</f>
        <v>6.4150215818271298E-3</v>
      </c>
      <c r="AF119" s="316"/>
      <c r="AG119" s="316"/>
      <c r="AH119" s="350"/>
    </row>
    <row r="120" spans="1:34" ht="28.8" x14ac:dyDescent="0.3">
      <c r="A120" t="s">
        <v>619</v>
      </c>
      <c r="B120" s="459"/>
      <c r="C120" s="316" t="s">
        <v>557</v>
      </c>
      <c r="D120" s="456"/>
      <c r="E120" s="456" t="s">
        <v>620</v>
      </c>
      <c r="F120" s="316" t="s">
        <v>621</v>
      </c>
      <c r="G120" s="326" t="s">
        <v>622</v>
      </c>
      <c r="H120" s="330"/>
      <c r="I120" s="330" t="s">
        <v>623</v>
      </c>
      <c r="J120" s="330" t="s">
        <v>41</v>
      </c>
      <c r="K120" s="330">
        <v>0</v>
      </c>
      <c r="L120" s="330"/>
      <c r="M120" s="330"/>
      <c r="N120" s="330"/>
      <c r="O120" s="330"/>
      <c r="P120" s="330"/>
      <c r="Q120" s="330"/>
      <c r="R120" s="330"/>
      <c r="S120" s="348" t="s">
        <v>624</v>
      </c>
      <c r="T120" s="312">
        <v>0.1</v>
      </c>
      <c r="U120" s="332"/>
      <c r="V120" s="349"/>
      <c r="W120" s="322">
        <f>SUM(Sankey_diag!N23:N28)/52*2</f>
        <v>7.6288461538461538</v>
      </c>
      <c r="X120" s="317" cm="1">
        <f t="array" ref="X120">IF(Y120="",W120,_xlfn.XLOOKUP(Y120,$Y$2:Y119,$AC$2:AC119,W120,0,-1))</f>
        <v>7.6288461538461538</v>
      </c>
      <c r="Y120" s="316"/>
      <c r="Z120" s="319">
        <v>0.05</v>
      </c>
      <c r="AA120" s="375">
        <f t="shared" ref="AA120:AA138" si="27">(T120-U120)*Z120*W120</f>
        <v>3.8144230769230777E-2</v>
      </c>
      <c r="AB120" s="316">
        <f t="shared" ref="AB120:AB138" si="28">(T120-U120)*Z120*X120</f>
        <v>3.8144230769230777E-2</v>
      </c>
      <c r="AC120" s="316">
        <f t="shared" ref="AC120:AC138" si="29">X120-AB120</f>
        <v>7.5907019230769235</v>
      </c>
      <c r="AD120" s="316"/>
      <c r="AE120" s="320">
        <f>AA120/Sankey_diag!$H$62</f>
        <v>1.0378875508536001E-5</v>
      </c>
      <c r="AF120" s="316"/>
      <c r="AG120" s="316"/>
      <c r="AH120" s="350"/>
    </row>
    <row r="121" spans="1:34" ht="28.8" x14ac:dyDescent="0.3">
      <c r="A121" t="s">
        <v>625</v>
      </c>
      <c r="B121" s="459"/>
      <c r="C121" s="316" t="s">
        <v>584</v>
      </c>
      <c r="D121" s="456"/>
      <c r="E121" s="456"/>
      <c r="F121" s="316" t="s">
        <v>626</v>
      </c>
      <c r="G121" s="326" t="s">
        <v>627</v>
      </c>
      <c r="H121" s="330"/>
      <c r="I121" s="330"/>
      <c r="J121" s="330" t="s">
        <v>41</v>
      </c>
      <c r="K121" s="330"/>
      <c r="L121" s="330"/>
      <c r="M121" s="330"/>
      <c r="N121" s="330"/>
      <c r="O121" s="330"/>
      <c r="P121" s="330"/>
      <c r="Q121" s="330"/>
      <c r="R121" s="330"/>
      <c r="S121" s="348" t="s">
        <v>628</v>
      </c>
      <c r="T121" s="312">
        <v>0.25</v>
      </c>
      <c r="U121" s="332"/>
      <c r="V121" s="349"/>
      <c r="W121" s="322"/>
      <c r="X121" s="317"/>
      <c r="Y121" s="316"/>
      <c r="Z121" s="318"/>
      <c r="AA121" s="375"/>
      <c r="AB121" s="316"/>
      <c r="AC121" s="316"/>
      <c r="AD121" s="316"/>
      <c r="AE121" s="320">
        <f>AA121/Sankey_diag!$H$62</f>
        <v>0</v>
      </c>
      <c r="AF121" s="316"/>
      <c r="AG121" s="316"/>
      <c r="AH121" s="350"/>
    </row>
    <row r="122" spans="1:34" ht="28.8" x14ac:dyDescent="0.3">
      <c r="A122" t="s">
        <v>629</v>
      </c>
      <c r="B122" s="459"/>
      <c r="C122" s="316" t="s">
        <v>584</v>
      </c>
      <c r="D122" s="456"/>
      <c r="E122" s="456"/>
      <c r="F122" s="316" t="s">
        <v>630</v>
      </c>
      <c r="G122" s="326" t="s">
        <v>630</v>
      </c>
      <c r="H122" s="330"/>
      <c r="I122" s="330" t="s">
        <v>631</v>
      </c>
      <c r="J122" s="330" t="s">
        <v>41</v>
      </c>
      <c r="K122" s="330">
        <v>2</v>
      </c>
      <c r="L122" s="330" t="s">
        <v>53</v>
      </c>
      <c r="M122" s="330" t="s">
        <v>44</v>
      </c>
      <c r="N122" s="330" t="s">
        <v>44</v>
      </c>
      <c r="O122" s="330"/>
      <c r="P122" s="330" t="s">
        <v>106</v>
      </c>
      <c r="Q122" s="330"/>
      <c r="R122" s="330"/>
      <c r="S122" s="348" t="s">
        <v>632</v>
      </c>
      <c r="T122" s="312">
        <v>0.2</v>
      </c>
      <c r="U122" s="332"/>
      <c r="V122" s="349"/>
      <c r="W122" s="322">
        <f>2%*SUM(Sankey_diag!N25)</f>
        <v>2.5940777777777777</v>
      </c>
      <c r="X122" s="317" cm="1">
        <f t="array" ref="X122">IF(Y122="",W122,_xlfn.XLOOKUP(Y122,$Y$2:Y121,$AC$2:AC121,W122,0,-1))</f>
        <v>2.5940777777777777</v>
      </c>
      <c r="Y122" s="316"/>
      <c r="Z122" s="319">
        <v>1</v>
      </c>
      <c r="AA122" s="375">
        <f t="shared" si="27"/>
        <v>0.51881555555555559</v>
      </c>
      <c r="AB122" s="316">
        <f t="shared" si="28"/>
        <v>0.51881555555555559</v>
      </c>
      <c r="AC122" s="316">
        <f t="shared" si="29"/>
        <v>2.0752622222222223</v>
      </c>
      <c r="AD122" s="316"/>
      <c r="AE122" s="320">
        <f>AA122/Sankey_diag!$H$62</f>
        <v>1.4116740472707779E-4</v>
      </c>
      <c r="AF122" s="316"/>
      <c r="AG122" s="316"/>
      <c r="AH122" s="350"/>
    </row>
    <row r="123" spans="1:34" x14ac:dyDescent="0.3">
      <c r="B123" s="459"/>
      <c r="C123" s="316" t="s">
        <v>584</v>
      </c>
      <c r="D123" s="456"/>
      <c r="E123" s="456"/>
      <c r="F123" s="316" t="s">
        <v>633</v>
      </c>
      <c r="G123" s="326" t="s">
        <v>634</v>
      </c>
      <c r="H123" s="330"/>
      <c r="I123" s="330"/>
      <c r="J123" s="330" t="s">
        <v>52</v>
      </c>
      <c r="K123" s="330"/>
      <c r="L123" s="330"/>
      <c r="M123" s="330"/>
      <c r="N123" s="330"/>
      <c r="O123" s="330"/>
      <c r="P123" s="330"/>
      <c r="Q123" s="330"/>
      <c r="R123" s="330"/>
      <c r="S123" s="348" t="s">
        <v>635</v>
      </c>
      <c r="T123" s="310"/>
      <c r="U123" s="332"/>
      <c r="V123" s="349"/>
      <c r="W123" s="322"/>
      <c r="X123" s="317" cm="1">
        <f t="array" ref="X123">IF(Y123="",W123,_xlfn.XLOOKUP(Y123,$Y$2:Y122,$AC$2:AC122,W123,0,-1))</f>
        <v>0</v>
      </c>
      <c r="Y123" s="316"/>
      <c r="Z123" s="316"/>
      <c r="AA123" s="375">
        <f t="shared" si="27"/>
        <v>0</v>
      </c>
      <c r="AB123" s="316">
        <f t="shared" si="28"/>
        <v>0</v>
      </c>
      <c r="AC123" s="316">
        <f t="shared" si="29"/>
        <v>0</v>
      </c>
      <c r="AD123" s="316"/>
      <c r="AE123" s="320">
        <f>AA123/Sankey_diag!$H$62</f>
        <v>0</v>
      </c>
      <c r="AF123" s="316"/>
      <c r="AG123" s="316" t="s">
        <v>389</v>
      </c>
      <c r="AH123" s="350" t="s">
        <v>492</v>
      </c>
    </row>
    <row r="124" spans="1:34" ht="13.35" customHeight="1" x14ac:dyDescent="0.3">
      <c r="B124" s="459"/>
      <c r="C124" s="316" t="s">
        <v>584</v>
      </c>
      <c r="D124" s="456"/>
      <c r="E124" s="456"/>
      <c r="F124" s="316" t="s">
        <v>636</v>
      </c>
      <c r="G124" s="326" t="s">
        <v>637</v>
      </c>
      <c r="H124" s="330"/>
      <c r="I124" s="330"/>
      <c r="J124" s="330" t="s">
        <v>52</v>
      </c>
      <c r="K124" s="330"/>
      <c r="L124" s="330" t="s">
        <v>86</v>
      </c>
      <c r="M124" s="330" t="s">
        <v>44</v>
      </c>
      <c r="N124" s="330" t="s">
        <v>44</v>
      </c>
      <c r="O124" s="330"/>
      <c r="P124" s="330" t="s">
        <v>45</v>
      </c>
      <c r="Q124" s="330"/>
      <c r="R124" s="330"/>
      <c r="S124" s="348" t="s">
        <v>638</v>
      </c>
      <c r="T124" s="311">
        <v>0.8</v>
      </c>
      <c r="U124" s="332"/>
      <c r="V124" s="349"/>
      <c r="W124" s="322"/>
      <c r="X124" s="317" cm="1">
        <f t="array" ref="X124">IF(Y124="",W124,_xlfn.XLOOKUP(Y124,$Y$2:Y123,$AC$2:AC123,W124,0,-1))</f>
        <v>0</v>
      </c>
      <c r="Y124" s="316"/>
      <c r="Z124" s="319">
        <v>1</v>
      </c>
      <c r="AA124" s="375">
        <f t="shared" si="27"/>
        <v>0</v>
      </c>
      <c r="AB124" s="316">
        <f t="shared" si="28"/>
        <v>0</v>
      </c>
      <c r="AC124" s="316">
        <f t="shared" si="29"/>
        <v>0</v>
      </c>
      <c r="AD124" s="316"/>
      <c r="AE124" s="320">
        <f>AA124/Sankey_diag!$H$62</f>
        <v>0</v>
      </c>
      <c r="AF124" s="316"/>
      <c r="AG124" s="316" t="s">
        <v>639</v>
      </c>
      <c r="AH124" s="350" t="s">
        <v>640</v>
      </c>
    </row>
    <row r="125" spans="1:34" ht="14.1" customHeight="1" x14ac:dyDescent="0.3">
      <c r="B125" s="459"/>
      <c r="C125" s="316" t="s">
        <v>569</v>
      </c>
      <c r="D125" s="456"/>
      <c r="E125" s="456"/>
      <c r="F125" s="316" t="s">
        <v>641</v>
      </c>
      <c r="G125" s="326" t="s">
        <v>642</v>
      </c>
      <c r="H125" s="330"/>
      <c r="I125" s="330" t="s">
        <v>643</v>
      </c>
      <c r="J125" s="330" t="s">
        <v>52</v>
      </c>
      <c r="K125" s="330"/>
      <c r="L125" s="330" t="s">
        <v>53</v>
      </c>
      <c r="M125" s="330" t="s">
        <v>43</v>
      </c>
      <c r="N125" s="330" t="s">
        <v>43</v>
      </c>
      <c r="O125" s="330"/>
      <c r="P125" s="330" t="s">
        <v>106</v>
      </c>
      <c r="Q125" s="330"/>
      <c r="R125" s="330"/>
      <c r="S125" s="348" t="s">
        <v>644</v>
      </c>
      <c r="T125" s="312">
        <f>2/5*30%</f>
        <v>0.12</v>
      </c>
      <c r="U125" s="332">
        <v>0</v>
      </c>
      <c r="V125" s="349"/>
      <c r="W125" s="324">
        <f>SUM(Sankey_diag!K3)</f>
        <v>633.02056871462128</v>
      </c>
      <c r="X125" s="317" cm="1">
        <f t="array" ref="X125">IF(Y125="",W125,_xlfn.XLOOKUP(Y125,$Y$2:Y124,$AC$2:AC124,W125,0,-1))</f>
        <v>120.50884389140271</v>
      </c>
      <c r="Y125" s="316">
        <v>10</v>
      </c>
      <c r="Z125" s="320">
        <v>1</v>
      </c>
      <c r="AA125" s="375">
        <f t="shared" si="27"/>
        <v>75.96246824575455</v>
      </c>
      <c r="AB125" s="316">
        <f t="shared" si="28"/>
        <v>14.461061266968324</v>
      </c>
      <c r="AC125" s="316">
        <f t="shared" si="29"/>
        <v>106.04778262443438</v>
      </c>
      <c r="AD125" s="316"/>
      <c r="AE125" s="320">
        <f>AA125/Sankey_diag!$H$62</f>
        <v>2.066904969230042E-2</v>
      </c>
      <c r="AF125" s="316"/>
      <c r="AG125" s="316" t="s">
        <v>645</v>
      </c>
      <c r="AH125" s="350" t="s">
        <v>646</v>
      </c>
    </row>
    <row r="126" spans="1:34" ht="14.1" customHeight="1" thickBot="1" x14ac:dyDescent="0.35">
      <c r="B126" s="460"/>
      <c r="C126" s="354" t="s">
        <v>569</v>
      </c>
      <c r="D126" s="352"/>
      <c r="E126" s="352"/>
      <c r="F126" s="351"/>
      <c r="G126" s="353" t="s">
        <v>647</v>
      </c>
      <c r="H126" s="354"/>
      <c r="I126" s="354"/>
      <c r="J126" s="354" t="s">
        <v>185</v>
      </c>
      <c r="K126" s="354"/>
      <c r="L126" s="354"/>
      <c r="M126" s="354"/>
      <c r="N126" s="354"/>
      <c r="O126" s="354"/>
      <c r="P126" s="354"/>
      <c r="Q126" s="354"/>
      <c r="R126" s="354"/>
      <c r="S126" s="356" t="s">
        <v>648</v>
      </c>
      <c r="T126" s="366">
        <v>0.1</v>
      </c>
      <c r="U126" s="358">
        <v>0</v>
      </c>
      <c r="V126" s="359"/>
      <c r="W126" s="360">
        <f>SUM(Sankey_diag!K3:K18)</f>
        <v>844.37293065765357</v>
      </c>
      <c r="X126" s="361"/>
      <c r="Y126" s="351"/>
      <c r="Z126" s="362">
        <v>0.1</v>
      </c>
      <c r="AA126" s="376">
        <f t="shared" si="27"/>
        <v>8.4437293065765378</v>
      </c>
      <c r="AB126" s="351">
        <f t="shared" si="28"/>
        <v>0</v>
      </c>
      <c r="AC126" s="351"/>
      <c r="AD126" s="351"/>
      <c r="AE126" s="362"/>
      <c r="AF126" s="351"/>
      <c r="AG126" s="351"/>
      <c r="AH126" s="363"/>
    </row>
    <row r="127" spans="1:34" ht="114.6" customHeight="1" thickTop="1" x14ac:dyDescent="0.3">
      <c r="A127" t="s">
        <v>649</v>
      </c>
      <c r="B127" s="458" t="s">
        <v>2882</v>
      </c>
      <c r="C127" s="336"/>
      <c r="D127" s="455" t="s">
        <v>2888</v>
      </c>
      <c r="E127" s="455" t="s">
        <v>277</v>
      </c>
      <c r="F127" s="336" t="s">
        <v>651</v>
      </c>
      <c r="G127" s="338" t="s">
        <v>652</v>
      </c>
      <c r="H127" s="339"/>
      <c r="I127" s="339"/>
      <c r="J127" s="339" t="s">
        <v>41</v>
      </c>
      <c r="K127" s="339">
        <v>0</v>
      </c>
      <c r="L127" s="339" t="s">
        <v>42</v>
      </c>
      <c r="M127" s="339" t="s">
        <v>43</v>
      </c>
      <c r="N127" s="339" t="s">
        <v>44</v>
      </c>
      <c r="O127" s="339"/>
      <c r="P127" s="339" t="s">
        <v>45</v>
      </c>
      <c r="Q127" s="339"/>
      <c r="R127" s="339"/>
      <c r="S127" s="340" t="s">
        <v>653</v>
      </c>
      <c r="T127" s="390">
        <v>1</v>
      </c>
      <c r="U127" s="342">
        <v>0</v>
      </c>
      <c r="V127" s="343">
        <v>2022</v>
      </c>
      <c r="W127" s="379"/>
      <c r="X127" s="379"/>
      <c r="Y127" s="392"/>
      <c r="Z127" s="377"/>
      <c r="AA127" s="374">
        <f>Z127*W127</f>
        <v>0</v>
      </c>
      <c r="AB127" s="378">
        <f>Z127*X127</f>
        <v>0</v>
      </c>
      <c r="AC127" s="378">
        <f t="shared" si="29"/>
        <v>0</v>
      </c>
      <c r="AD127" s="346">
        <f>AA127/Sankey_diag!$H$29</f>
        <v>0</v>
      </c>
      <c r="AE127" s="346">
        <f>AA127/Sankey_diag!$H$62</f>
        <v>0</v>
      </c>
      <c r="AF127" s="336"/>
      <c r="AG127" s="336" t="s">
        <v>77</v>
      </c>
      <c r="AH127" s="347" t="s">
        <v>654</v>
      </c>
    </row>
    <row r="128" spans="1:34" ht="28.8" x14ac:dyDescent="0.3">
      <c r="A128" t="s">
        <v>655</v>
      </c>
      <c r="B128" s="459"/>
      <c r="C128" s="316"/>
      <c r="D128" s="456"/>
      <c r="E128" s="456"/>
      <c r="F128" s="316" t="s">
        <v>656</v>
      </c>
      <c r="G128" s="326" t="s">
        <v>656</v>
      </c>
      <c r="H128" s="330"/>
      <c r="I128" s="330" t="s">
        <v>657</v>
      </c>
      <c r="J128" s="330" t="s">
        <v>41</v>
      </c>
      <c r="K128" s="330">
        <v>3</v>
      </c>
      <c r="L128" s="330"/>
      <c r="M128" s="330"/>
      <c r="N128" s="330"/>
      <c r="O128" s="330"/>
      <c r="P128" s="330" t="s">
        <v>157</v>
      </c>
      <c r="Q128" s="330"/>
      <c r="R128" s="330"/>
      <c r="S128" s="348" t="s">
        <v>658</v>
      </c>
      <c r="T128" s="310">
        <v>1</v>
      </c>
      <c r="U128" s="332"/>
      <c r="V128" s="349"/>
      <c r="W128" s="322"/>
      <c r="X128" s="317"/>
      <c r="Y128" s="316"/>
      <c r="Z128" s="316"/>
      <c r="AA128" s="375">
        <f t="shared" ref="AA128" si="30">(T128-U128)*Z128*W128</f>
        <v>0</v>
      </c>
      <c r="AB128" s="316">
        <f t="shared" ref="AB128" si="31">(T128-U128)*Z128*X128</f>
        <v>0</v>
      </c>
      <c r="AC128" s="316">
        <f t="shared" ref="AC128" si="32">X128-AB128</f>
        <v>0</v>
      </c>
      <c r="AD128" s="316"/>
      <c r="AE128" s="320">
        <f>AA128/Sankey_diag!$H$62</f>
        <v>0</v>
      </c>
      <c r="AF128" s="316"/>
      <c r="AG128" s="316"/>
      <c r="AH128" s="350"/>
    </row>
    <row r="129" spans="1:34" x14ac:dyDescent="0.3">
      <c r="A129" t="s">
        <v>659</v>
      </c>
      <c r="B129" s="459"/>
      <c r="C129" s="316"/>
      <c r="D129" s="456" t="s">
        <v>2889</v>
      </c>
      <c r="E129" s="456" t="s">
        <v>2903</v>
      </c>
      <c r="F129" s="316" t="s">
        <v>661</v>
      </c>
      <c r="G129" s="326" t="s">
        <v>662</v>
      </c>
      <c r="H129" s="330"/>
      <c r="I129" s="330" t="s">
        <v>663</v>
      </c>
      <c r="J129" s="330" t="s">
        <v>41</v>
      </c>
      <c r="K129" s="330">
        <v>3</v>
      </c>
      <c r="L129" s="330" t="s">
        <v>86</v>
      </c>
      <c r="M129" s="330" t="s">
        <v>44</v>
      </c>
      <c r="N129" s="330" t="s">
        <v>44</v>
      </c>
      <c r="O129" s="330"/>
      <c r="P129" s="330" t="s">
        <v>45</v>
      </c>
      <c r="Q129" s="330"/>
      <c r="R129" s="330"/>
      <c r="S129" s="348" t="s">
        <v>664</v>
      </c>
      <c r="T129" s="310">
        <v>1</v>
      </c>
      <c r="U129" s="332"/>
      <c r="V129" s="349"/>
      <c r="W129" s="322"/>
      <c r="X129" s="317"/>
      <c r="Y129" s="316"/>
      <c r="Z129" s="380"/>
      <c r="AA129" s="375">
        <f t="shared" si="27"/>
        <v>0</v>
      </c>
      <c r="AB129" s="316">
        <f t="shared" si="28"/>
        <v>0</v>
      </c>
      <c r="AC129" s="316">
        <f t="shared" si="29"/>
        <v>0</v>
      </c>
      <c r="AD129" s="316"/>
      <c r="AE129" s="320">
        <f>AA129/Sankey_diag!$H$62</f>
        <v>0</v>
      </c>
      <c r="AF129" s="316"/>
      <c r="AG129" s="316"/>
      <c r="AH129" s="350"/>
    </row>
    <row r="130" spans="1:34" x14ac:dyDescent="0.3">
      <c r="A130" t="s">
        <v>665</v>
      </c>
      <c r="B130" s="459"/>
      <c r="C130" s="316"/>
      <c r="D130" s="456"/>
      <c r="E130" s="456"/>
      <c r="F130" s="316" t="s">
        <v>666</v>
      </c>
      <c r="G130" s="326" t="s">
        <v>666</v>
      </c>
      <c r="H130" s="330"/>
      <c r="I130" s="330" t="s">
        <v>667</v>
      </c>
      <c r="J130" s="330" t="s">
        <v>41</v>
      </c>
      <c r="K130" s="330">
        <v>2</v>
      </c>
      <c r="L130" s="330" t="s">
        <v>86</v>
      </c>
      <c r="M130" s="330" t="s">
        <v>43</v>
      </c>
      <c r="N130" s="330" t="s">
        <v>44</v>
      </c>
      <c r="O130" s="330"/>
      <c r="P130" s="330" t="s">
        <v>45</v>
      </c>
      <c r="Q130" s="330"/>
      <c r="R130" s="330"/>
      <c r="S130" s="348" t="s">
        <v>668</v>
      </c>
      <c r="T130" s="312">
        <v>0.8</v>
      </c>
      <c r="U130" s="332"/>
      <c r="V130" s="349"/>
      <c r="W130" s="322"/>
      <c r="X130" s="317"/>
      <c r="Y130" s="316"/>
      <c r="Z130" s="319"/>
      <c r="AA130" s="375">
        <f t="shared" si="27"/>
        <v>0</v>
      </c>
      <c r="AB130" s="316">
        <f t="shared" si="28"/>
        <v>0</v>
      </c>
      <c r="AC130" s="316">
        <f t="shared" si="29"/>
        <v>0</v>
      </c>
      <c r="AD130" s="316"/>
      <c r="AE130" s="320">
        <f>AA130/Sankey_diag!$H$62</f>
        <v>0</v>
      </c>
      <c r="AF130" s="316"/>
      <c r="AG130" s="316" t="s">
        <v>77</v>
      </c>
      <c r="AH130" s="350" t="s">
        <v>669</v>
      </c>
    </row>
    <row r="131" spans="1:34" ht="28.8" x14ac:dyDescent="0.3">
      <c r="A131" t="s">
        <v>670</v>
      </c>
      <c r="B131" s="459"/>
      <c r="C131" s="316"/>
      <c r="D131" s="456"/>
      <c r="E131" s="456"/>
      <c r="F131" s="316" t="s">
        <v>671</v>
      </c>
      <c r="G131" s="326" t="s">
        <v>671</v>
      </c>
      <c r="H131" s="330"/>
      <c r="I131" s="330"/>
      <c r="J131" s="330" t="s">
        <v>41</v>
      </c>
      <c r="K131" s="330"/>
      <c r="L131" s="330" t="s">
        <v>53</v>
      </c>
      <c r="M131" s="330" t="s">
        <v>44</v>
      </c>
      <c r="N131" s="330" t="s">
        <v>44</v>
      </c>
      <c r="O131" s="330"/>
      <c r="P131" s="330" t="s">
        <v>45</v>
      </c>
      <c r="Q131" s="330"/>
      <c r="R131" s="330"/>
      <c r="S131" s="348" t="s">
        <v>672</v>
      </c>
      <c r="T131" s="312">
        <v>0.7</v>
      </c>
      <c r="U131" s="332"/>
      <c r="V131" s="349"/>
      <c r="W131" s="322"/>
      <c r="X131" s="317"/>
      <c r="Y131" s="316"/>
      <c r="Z131" s="319"/>
      <c r="AA131" s="375">
        <f t="shared" si="27"/>
        <v>0</v>
      </c>
      <c r="AB131" s="316">
        <f t="shared" si="28"/>
        <v>0</v>
      </c>
      <c r="AC131" s="316">
        <f t="shared" si="29"/>
        <v>0</v>
      </c>
      <c r="AD131" s="316"/>
      <c r="AE131" s="320">
        <f>AA131/Sankey_diag!$H$62</f>
        <v>0</v>
      </c>
      <c r="AF131" s="316"/>
      <c r="AG131" s="316" t="s">
        <v>389</v>
      </c>
      <c r="AH131" s="350" t="s">
        <v>669</v>
      </c>
    </row>
    <row r="132" spans="1:34" ht="28.8" x14ac:dyDescent="0.3">
      <c r="B132" s="459"/>
      <c r="C132" s="316"/>
      <c r="D132" s="456"/>
      <c r="E132" s="456"/>
      <c r="F132" s="316" t="s">
        <v>673</v>
      </c>
      <c r="G132" s="326" t="s">
        <v>674</v>
      </c>
      <c r="H132" s="330"/>
      <c r="I132" s="330" t="s">
        <v>675</v>
      </c>
      <c r="J132" s="330" t="s">
        <v>52</v>
      </c>
      <c r="K132" s="330"/>
      <c r="L132" s="330" t="s">
        <v>86</v>
      </c>
      <c r="M132" s="330" t="s">
        <v>44</v>
      </c>
      <c r="N132" s="330" t="s">
        <v>44</v>
      </c>
      <c r="O132" s="330"/>
      <c r="P132" s="330" t="s">
        <v>45</v>
      </c>
      <c r="Q132" s="330"/>
      <c r="R132" s="330"/>
      <c r="S132" s="348" t="s">
        <v>676</v>
      </c>
      <c r="T132" s="310">
        <v>4</v>
      </c>
      <c r="U132" s="332"/>
      <c r="V132" s="349"/>
      <c r="W132" s="324"/>
      <c r="X132" s="317"/>
      <c r="Y132" s="316"/>
      <c r="Z132" s="319"/>
      <c r="AA132" s="375">
        <f t="shared" si="27"/>
        <v>0</v>
      </c>
      <c r="AB132" s="316">
        <f t="shared" si="28"/>
        <v>0</v>
      </c>
      <c r="AC132" s="316">
        <f t="shared" si="29"/>
        <v>0</v>
      </c>
      <c r="AD132" s="316"/>
      <c r="AE132" s="320">
        <f>AA132/Sankey_diag!$H$62</f>
        <v>0</v>
      </c>
      <c r="AF132" s="316"/>
      <c r="AG132" s="316" t="s">
        <v>77</v>
      </c>
      <c r="AH132" s="350" t="s">
        <v>677</v>
      </c>
    </row>
    <row r="133" spans="1:34" ht="28.8" x14ac:dyDescent="0.3">
      <c r="A133" t="s">
        <v>678</v>
      </c>
      <c r="B133" s="459"/>
      <c r="C133" s="316"/>
      <c r="D133" s="456"/>
      <c r="E133" s="456" t="s">
        <v>679</v>
      </c>
      <c r="F133" s="316" t="s">
        <v>680</v>
      </c>
      <c r="G133" s="326" t="s">
        <v>681</v>
      </c>
      <c r="H133" s="330"/>
      <c r="I133" s="330" t="s">
        <v>682</v>
      </c>
      <c r="J133" s="330" t="s">
        <v>41</v>
      </c>
      <c r="K133" s="330">
        <v>1</v>
      </c>
      <c r="L133" s="330" t="s">
        <v>86</v>
      </c>
      <c r="M133" s="330" t="s">
        <v>44</v>
      </c>
      <c r="N133" s="330" t="s">
        <v>44</v>
      </c>
      <c r="O133" s="330"/>
      <c r="P133" s="330" t="s">
        <v>106</v>
      </c>
      <c r="Q133" s="330"/>
      <c r="R133" s="330"/>
      <c r="S133" s="348" t="s">
        <v>683</v>
      </c>
      <c r="T133" s="310">
        <v>1</v>
      </c>
      <c r="U133" s="332"/>
      <c r="V133" s="349"/>
      <c r="W133" s="322"/>
      <c r="X133" s="317"/>
      <c r="Y133" s="316"/>
      <c r="Z133" s="380"/>
      <c r="AA133" s="375">
        <f t="shared" si="27"/>
        <v>0</v>
      </c>
      <c r="AB133" s="316">
        <f t="shared" si="28"/>
        <v>0</v>
      </c>
      <c r="AC133" s="316">
        <f t="shared" si="29"/>
        <v>0</v>
      </c>
      <c r="AD133" s="316"/>
      <c r="AE133" s="320">
        <f>AA133/Sankey_diag!$H$62</f>
        <v>0</v>
      </c>
      <c r="AF133" s="316"/>
      <c r="AG133" s="316" t="s">
        <v>77</v>
      </c>
      <c r="AH133" s="350"/>
    </row>
    <row r="134" spans="1:34" ht="28.8" x14ac:dyDescent="0.3">
      <c r="A134" t="s">
        <v>684</v>
      </c>
      <c r="B134" s="459"/>
      <c r="C134" s="316"/>
      <c r="D134" s="456"/>
      <c r="E134" s="456"/>
      <c r="F134" s="316" t="s">
        <v>685</v>
      </c>
      <c r="G134" s="326" t="s">
        <v>686</v>
      </c>
      <c r="H134" s="330"/>
      <c r="I134" s="330"/>
      <c r="J134" s="330" t="s">
        <v>41</v>
      </c>
      <c r="K134" s="330">
        <v>2</v>
      </c>
      <c r="L134" s="330" t="s">
        <v>53</v>
      </c>
      <c r="M134" s="330" t="s">
        <v>44</v>
      </c>
      <c r="N134" s="330" t="s">
        <v>44</v>
      </c>
      <c r="O134" s="330"/>
      <c r="P134" s="330" t="s">
        <v>45</v>
      </c>
      <c r="Q134" s="330"/>
      <c r="R134" s="330"/>
      <c r="S134" s="348" t="s">
        <v>687</v>
      </c>
      <c r="T134" s="312" t="s">
        <v>590</v>
      </c>
      <c r="U134" s="332"/>
      <c r="V134" s="349"/>
      <c r="W134" s="322"/>
      <c r="X134" s="317"/>
      <c r="Y134" s="316"/>
      <c r="Z134" s="319"/>
      <c r="AA134" s="375" t="e">
        <f t="shared" si="27"/>
        <v>#VALUE!</v>
      </c>
      <c r="AB134" s="316" t="e">
        <f t="shared" si="28"/>
        <v>#VALUE!</v>
      </c>
      <c r="AC134" s="316" t="e">
        <f t="shared" si="29"/>
        <v>#VALUE!</v>
      </c>
      <c r="AD134" s="316"/>
      <c r="AE134" s="320" t="e">
        <f>AA134/Sankey_diag!$H$62</f>
        <v>#VALUE!</v>
      </c>
      <c r="AF134" s="316"/>
      <c r="AG134" s="316"/>
      <c r="AH134" s="350"/>
    </row>
    <row r="135" spans="1:34" ht="28.8" x14ac:dyDescent="0.3">
      <c r="A135" t="s">
        <v>688</v>
      </c>
      <c r="B135" s="459"/>
      <c r="C135" s="316"/>
      <c r="D135" s="456"/>
      <c r="E135" s="456"/>
      <c r="F135" s="316" t="s">
        <v>689</v>
      </c>
      <c r="G135" s="326" t="s">
        <v>690</v>
      </c>
      <c r="H135" s="330"/>
      <c r="I135" s="330" t="s">
        <v>691</v>
      </c>
      <c r="J135" s="330" t="s">
        <v>41</v>
      </c>
      <c r="K135" s="330">
        <v>2</v>
      </c>
      <c r="L135" s="330" t="s">
        <v>86</v>
      </c>
      <c r="M135" s="330" t="s">
        <v>44</v>
      </c>
      <c r="N135" s="330" t="s">
        <v>44</v>
      </c>
      <c r="O135" s="330"/>
      <c r="P135" s="330" t="s">
        <v>45</v>
      </c>
      <c r="Q135" s="330"/>
      <c r="R135" s="330"/>
      <c r="S135" s="348" t="s">
        <v>692</v>
      </c>
      <c r="T135" s="311">
        <v>0.75</v>
      </c>
      <c r="U135" s="332"/>
      <c r="V135" s="349"/>
      <c r="W135" s="322"/>
      <c r="X135" s="317"/>
      <c r="Y135" s="316"/>
      <c r="Z135" s="316"/>
      <c r="AA135" s="375">
        <f t="shared" si="27"/>
        <v>0</v>
      </c>
      <c r="AB135" s="316">
        <f t="shared" si="28"/>
        <v>0</v>
      </c>
      <c r="AC135" s="316">
        <f t="shared" si="29"/>
        <v>0</v>
      </c>
      <c r="AD135" s="316"/>
      <c r="AE135" s="320">
        <f>AA135/Sankey_diag!$H$62</f>
        <v>0</v>
      </c>
      <c r="AF135" s="316"/>
      <c r="AG135" s="316"/>
      <c r="AH135" s="350"/>
    </row>
    <row r="136" spans="1:34" x14ac:dyDescent="0.3">
      <c r="A136" t="s">
        <v>693</v>
      </c>
      <c r="B136" s="459"/>
      <c r="C136" s="316"/>
      <c r="D136" s="456"/>
      <c r="E136" s="456"/>
      <c r="F136" s="316" t="s">
        <v>694</v>
      </c>
      <c r="G136" s="326" t="s">
        <v>695</v>
      </c>
      <c r="H136" s="330"/>
      <c r="I136" s="330"/>
      <c r="J136" s="330" t="s">
        <v>41</v>
      </c>
      <c r="K136" s="330">
        <v>2</v>
      </c>
      <c r="L136" s="330" t="s">
        <v>86</v>
      </c>
      <c r="M136" s="330" t="s">
        <v>111</v>
      </c>
      <c r="N136" s="330" t="s">
        <v>43</v>
      </c>
      <c r="O136" s="330"/>
      <c r="P136" s="330" t="s">
        <v>106</v>
      </c>
      <c r="Q136" s="330"/>
      <c r="R136" s="330"/>
      <c r="S136" s="348"/>
      <c r="T136" s="310"/>
      <c r="U136" s="332"/>
      <c r="V136" s="349"/>
      <c r="W136" s="322"/>
      <c r="X136" s="317"/>
      <c r="Y136" s="316"/>
      <c r="Z136" s="316"/>
      <c r="AA136" s="375">
        <f t="shared" si="27"/>
        <v>0</v>
      </c>
      <c r="AB136" s="316">
        <f t="shared" si="28"/>
        <v>0</v>
      </c>
      <c r="AC136" s="316">
        <f t="shared" si="29"/>
        <v>0</v>
      </c>
      <c r="AD136" s="316"/>
      <c r="AE136" s="320">
        <f>AA136/Sankey_diag!$H$62</f>
        <v>0</v>
      </c>
      <c r="AF136" s="316"/>
      <c r="AG136" s="316"/>
      <c r="AH136" s="350"/>
    </row>
    <row r="137" spans="1:34" ht="28.8" x14ac:dyDescent="0.3">
      <c r="B137" s="459"/>
      <c r="C137" s="316"/>
      <c r="D137" s="456"/>
      <c r="E137" s="456"/>
      <c r="F137" s="316" t="s">
        <v>696</v>
      </c>
      <c r="G137" s="326" t="s">
        <v>696</v>
      </c>
      <c r="H137" s="330"/>
      <c r="I137" s="330"/>
      <c r="J137" s="330" t="s">
        <v>52</v>
      </c>
      <c r="K137" s="330"/>
      <c r="L137" s="330" t="s">
        <v>53</v>
      </c>
      <c r="M137" s="330" t="s">
        <v>43</v>
      </c>
      <c r="N137" s="330" t="s">
        <v>44</v>
      </c>
      <c r="O137" s="330"/>
      <c r="P137" s="330" t="s">
        <v>45</v>
      </c>
      <c r="Q137" s="330"/>
      <c r="R137" s="330"/>
      <c r="S137" s="348" t="s">
        <v>697</v>
      </c>
      <c r="T137" s="311">
        <v>0.8</v>
      </c>
      <c r="U137" s="332"/>
      <c r="V137" s="349"/>
      <c r="W137" s="324"/>
      <c r="X137" s="317"/>
      <c r="Y137" s="316"/>
      <c r="Z137" s="319"/>
      <c r="AA137" s="375">
        <f t="shared" si="27"/>
        <v>0</v>
      </c>
      <c r="AB137" s="316">
        <f t="shared" si="28"/>
        <v>0</v>
      </c>
      <c r="AC137" s="316">
        <f t="shared" si="29"/>
        <v>0</v>
      </c>
      <c r="AD137" s="316"/>
      <c r="AE137" s="320">
        <f>AA137/Sankey_diag!$H$62</f>
        <v>0</v>
      </c>
      <c r="AF137" s="316"/>
      <c r="AG137" s="316" t="s">
        <v>97</v>
      </c>
      <c r="AH137" s="350"/>
    </row>
    <row r="138" spans="1:34" ht="15" thickBot="1" x14ac:dyDescent="0.35">
      <c r="B138" s="460"/>
      <c r="C138" s="351"/>
      <c r="D138" s="457"/>
      <c r="E138" s="457"/>
      <c r="F138" s="351" t="s">
        <v>698</v>
      </c>
      <c r="G138" s="353" t="s">
        <v>698</v>
      </c>
      <c r="H138" s="354"/>
      <c r="I138" s="354"/>
      <c r="J138" s="354" t="s">
        <v>52</v>
      </c>
      <c r="K138" s="354"/>
      <c r="L138" s="354" t="s">
        <v>42</v>
      </c>
      <c r="M138" s="354"/>
      <c r="N138" s="354"/>
      <c r="O138" s="354"/>
      <c r="P138" s="354" t="s">
        <v>119</v>
      </c>
      <c r="Q138" s="354"/>
      <c r="R138" s="354"/>
      <c r="S138" s="356" t="s">
        <v>699</v>
      </c>
      <c r="T138" s="357">
        <v>0.5</v>
      </c>
      <c r="U138" s="358"/>
      <c r="V138" s="359"/>
      <c r="W138" s="368"/>
      <c r="X138" s="361"/>
      <c r="Y138" s="351"/>
      <c r="Z138" s="351"/>
      <c r="AA138" s="376">
        <f t="shared" si="27"/>
        <v>0</v>
      </c>
      <c r="AB138" s="351">
        <f t="shared" si="28"/>
        <v>0</v>
      </c>
      <c r="AC138" s="351">
        <f t="shared" si="29"/>
        <v>0</v>
      </c>
      <c r="AD138" s="351"/>
      <c r="AE138" s="362">
        <f>AA138/Sankey_diag!$H$62</f>
        <v>0</v>
      </c>
      <c r="AF138" s="351"/>
      <c r="AG138" s="351" t="s">
        <v>592</v>
      </c>
      <c r="AH138" s="363" t="s">
        <v>77</v>
      </c>
    </row>
    <row r="139" spans="1:34" ht="15" thickTop="1" x14ac:dyDescent="0.3"/>
  </sheetData>
  <autoFilter ref="A1:AH138" xr:uid="{28AF016E-6857-46A5-8FC5-E6FC83514BF0}"/>
  <sortState xmlns:xlrd2="http://schemas.microsoft.com/office/spreadsheetml/2017/richdata2" ref="A2:AI138">
    <sortCondition ref="B2:B138"/>
    <sortCondition ref="D2:D138"/>
    <sortCondition ref="E2:E138"/>
    <sortCondition ref="H2:H138"/>
  </sortState>
  <mergeCells count="45">
    <mergeCell ref="B2:B12"/>
    <mergeCell ref="B13:B22"/>
    <mergeCell ref="B23:B38"/>
    <mergeCell ref="B39:B64"/>
    <mergeCell ref="B65:B82"/>
    <mergeCell ref="B93:B105"/>
    <mergeCell ref="B127:B138"/>
    <mergeCell ref="D13:D22"/>
    <mergeCell ref="D23:D38"/>
    <mergeCell ref="D39:D64"/>
    <mergeCell ref="D65:D82"/>
    <mergeCell ref="D83:D92"/>
    <mergeCell ref="D93:D105"/>
    <mergeCell ref="B83:B92"/>
    <mergeCell ref="D127:D128"/>
    <mergeCell ref="D106:D125"/>
    <mergeCell ref="D129:D138"/>
    <mergeCell ref="B106:B126"/>
    <mergeCell ref="E103:E104"/>
    <mergeCell ref="E55:E57"/>
    <mergeCell ref="E58:E61"/>
    <mergeCell ref="E62:E64"/>
    <mergeCell ref="E67:E74"/>
    <mergeCell ref="E75:E82"/>
    <mergeCell ref="E87:E90"/>
    <mergeCell ref="E91:E92"/>
    <mergeCell ref="E93:E102"/>
    <mergeCell ref="E85:E86"/>
    <mergeCell ref="E133:E138"/>
    <mergeCell ref="E106:E107"/>
    <mergeCell ref="E108:E119"/>
    <mergeCell ref="E120:E125"/>
    <mergeCell ref="E129:E132"/>
    <mergeCell ref="E127:E128"/>
    <mergeCell ref="E43:E50"/>
    <mergeCell ref="E51:E54"/>
    <mergeCell ref="E33:E35"/>
    <mergeCell ref="E36:E37"/>
    <mergeCell ref="E23:E29"/>
    <mergeCell ref="E30:E32"/>
    <mergeCell ref="D2:D12"/>
    <mergeCell ref="E13:E22"/>
    <mergeCell ref="E8:E11"/>
    <mergeCell ref="E3:E5"/>
    <mergeCell ref="E41:E42"/>
  </mergeCells>
  <phoneticPr fontId="7" type="noConversion"/>
  <dataValidations count="5">
    <dataValidation type="list" allowBlank="1" showInputMessage="1" showErrorMessage="1" sqref="R75 R91:R92 R88:R89 P82:P83 Q139:Q1048576 R24 R26 R59:R60 R64 R50 P29:P79 R2:R11 P1:P27 P85:P1048576" xr:uid="{DD2034E7-8FF5-4DB6-BFE1-51AEDFC7C742}">
      <formula1>Ranking</formula1>
    </dataValidation>
    <dataValidation type="list" allowBlank="1" showInputMessage="1" showErrorMessage="1" sqref="M82:N83 R24 M29:N79 R2:R11 M1:N27 M85:N1048576" xr:uid="{6E02A09D-4D31-49AA-8544-ED7A1B31838A}">
      <formula1>HLM</formula1>
    </dataValidation>
    <dataValidation type="list" allowBlank="1" showInputMessage="1" showErrorMessage="1" sqref="C141:C1048576 C93:C138 C2:C90" xr:uid="{FB4C8E1E-5F56-468A-8364-8054407BF18F}">
      <formula1>Source_d_emission_niv1</formula1>
    </dataValidation>
    <dataValidation type="list" allowBlank="1" showInputMessage="1" showErrorMessage="1" sqref="L82:L83 L29:L79 L1:L27 L85:L1048576" xr:uid="{277EEA54-4561-45D2-BFE8-83170E12EE9E}">
      <formula1>Feasibility</formula1>
    </dataValidation>
    <dataValidation type="list" allowBlank="1" showInputMessage="1" showErrorMessage="1" sqref="K25 K39:K50 K53" xr:uid="{61CE9CFF-8C6B-412B-B4CA-D5A295034BD1}">
      <formula1>Source</formula1>
    </dataValidation>
  </dataValidations>
  <pageMargins left="0.7" right="0.7" top="0.75" bottom="0.75" header="0.3" footer="0.3"/>
  <pageSetup orientation="portrait" horizontalDpi="360" verticalDpi="36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3232A58-B7CC-43C4-AEB7-22BE7A3AE4C0}">
          <x14:formula1>
            <xm:f>Lists!$E$2:$E$7</xm:f>
          </x14:formula1>
          <xm:sqref>J27 J29:J53 J1:J25 J55:J1048576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36A62-B346-4804-9A6A-4197500809EC}">
  <sheetPr codeName="Sheet14"/>
  <dimension ref="A1:AD203"/>
  <sheetViews>
    <sheetView topLeftCell="A10" zoomScale="46" zoomScaleNormal="75" workbookViewId="0">
      <pane xSplit="4" topLeftCell="E1" activePane="topRight" state="frozen"/>
      <selection activeCell="A27" sqref="A27"/>
      <selection pane="topRight" activeCell="E98" sqref="E98"/>
    </sheetView>
  </sheetViews>
  <sheetFormatPr baseColWidth="10" defaultColWidth="11.88671875" defaultRowHeight="15" outlineLevelCol="1" x14ac:dyDescent="0.3"/>
  <cols>
    <col min="1" max="1" width="6.109375" style="79" customWidth="1"/>
    <col min="2" max="2" width="17.109375" style="79" customWidth="1"/>
    <col min="3" max="3" width="40.44140625" style="37" hidden="1" customWidth="1"/>
    <col min="4" max="4" width="33.5546875" style="37" customWidth="1" outlineLevel="1"/>
    <col min="5" max="5" width="47.44140625" style="37" customWidth="1"/>
    <col min="6" max="6" width="41.5546875" style="37" customWidth="1"/>
    <col min="7" max="7" width="57.44140625" style="37" customWidth="1"/>
    <col min="8" max="8" width="44.109375" style="37" customWidth="1"/>
    <col min="9" max="9" width="42.44140625" style="37" customWidth="1"/>
    <col min="10" max="12" width="55.44140625" style="37" customWidth="1"/>
    <col min="13" max="13" width="57.88671875" style="37" customWidth="1"/>
    <col min="14" max="14" width="43.88671875" style="37" customWidth="1"/>
    <col min="15" max="15" width="31.5546875" style="37" customWidth="1"/>
    <col min="16" max="16" width="41.5546875" style="37" customWidth="1"/>
    <col min="17" max="17" width="49" style="37" customWidth="1"/>
    <col min="18" max="16384" width="11.88671875" style="37"/>
  </cols>
  <sheetData>
    <row r="1" spans="1:30" s="33" customFormat="1" ht="90.6" customHeight="1" x14ac:dyDescent="0.3">
      <c r="A1" s="27"/>
      <c r="B1" s="28" t="s">
        <v>2002</v>
      </c>
      <c r="C1" s="29" t="s">
        <v>2003</v>
      </c>
      <c r="D1" s="30" t="s">
        <v>2004</v>
      </c>
      <c r="E1" s="30" t="s">
        <v>2005</v>
      </c>
      <c r="F1" s="31" t="s">
        <v>2006</v>
      </c>
      <c r="G1" s="32" t="s">
        <v>2007</v>
      </c>
      <c r="H1" s="32" t="s">
        <v>2008</v>
      </c>
      <c r="I1" s="32" t="s">
        <v>2009</v>
      </c>
      <c r="J1" s="32" t="s">
        <v>2010</v>
      </c>
      <c r="K1" s="32" t="s">
        <v>2011</v>
      </c>
      <c r="L1" s="32" t="s">
        <v>2012</v>
      </c>
      <c r="M1" s="32" t="s">
        <v>2013</v>
      </c>
      <c r="N1" s="32" t="s">
        <v>2014</v>
      </c>
      <c r="O1" s="32" t="s">
        <v>2015</v>
      </c>
      <c r="P1" s="32" t="s">
        <v>2016</v>
      </c>
      <c r="Q1" s="32" t="s">
        <v>2017</v>
      </c>
    </row>
    <row r="2" spans="1:30" ht="103.35" customHeight="1" x14ac:dyDescent="0.3">
      <c r="A2" s="603"/>
      <c r="B2" s="34" t="s">
        <v>2018</v>
      </c>
      <c r="C2" s="611"/>
      <c r="D2" s="600"/>
      <c r="E2" s="35" t="s">
        <v>2019</v>
      </c>
      <c r="F2" s="35"/>
      <c r="G2" s="35" t="s">
        <v>2020</v>
      </c>
      <c r="H2" s="36" t="s">
        <v>2021</v>
      </c>
      <c r="I2" s="36" t="s">
        <v>2022</v>
      </c>
      <c r="J2" s="36" t="s">
        <v>2023</v>
      </c>
      <c r="K2" s="36" t="s">
        <v>2024</v>
      </c>
      <c r="L2" s="36" t="s">
        <v>2025</v>
      </c>
      <c r="M2" s="36" t="s">
        <v>2026</v>
      </c>
      <c r="N2" s="36" t="s">
        <v>2027</v>
      </c>
      <c r="O2" s="36"/>
      <c r="P2" s="36"/>
      <c r="Q2" s="36"/>
      <c r="R2" s="36"/>
      <c r="S2" s="36"/>
      <c r="T2" s="36"/>
      <c r="U2" s="36"/>
      <c r="V2" s="36"/>
      <c r="W2" s="36"/>
      <c r="X2" s="36"/>
      <c r="Y2" s="36"/>
      <c r="Z2" s="36"/>
      <c r="AA2" s="36"/>
      <c r="AB2" s="36"/>
      <c r="AC2" s="36"/>
      <c r="AD2" s="36"/>
    </row>
    <row r="3" spans="1:30" ht="100.35" customHeight="1" x14ac:dyDescent="0.3">
      <c r="A3" s="604"/>
      <c r="B3" s="34" t="s">
        <v>2028</v>
      </c>
      <c r="C3" s="611"/>
      <c r="D3" s="600"/>
      <c r="E3" s="35">
        <v>2018</v>
      </c>
      <c r="F3" s="35">
        <v>2020</v>
      </c>
      <c r="G3" s="35">
        <v>2020</v>
      </c>
      <c r="H3" s="36">
        <v>2020</v>
      </c>
      <c r="I3" s="36">
        <v>2019</v>
      </c>
      <c r="J3" s="36">
        <v>2018</v>
      </c>
      <c r="K3" s="36"/>
      <c r="L3" s="36"/>
      <c r="M3" s="36">
        <v>2010</v>
      </c>
      <c r="N3" s="36">
        <v>2010</v>
      </c>
      <c r="O3" s="36">
        <v>2020</v>
      </c>
      <c r="P3" s="36">
        <v>2012</v>
      </c>
      <c r="Q3" s="36"/>
      <c r="R3" s="36"/>
      <c r="S3" s="36"/>
      <c r="T3" s="36"/>
      <c r="U3" s="36"/>
      <c r="V3" s="36"/>
      <c r="W3" s="36"/>
      <c r="X3" s="36"/>
      <c r="Y3" s="36"/>
      <c r="Z3" s="36"/>
      <c r="AA3" s="36"/>
      <c r="AB3" s="36"/>
      <c r="AC3" s="36"/>
      <c r="AD3" s="36"/>
    </row>
    <row r="4" spans="1:30" ht="357" x14ac:dyDescent="0.3">
      <c r="A4" s="602" t="s">
        <v>2029</v>
      </c>
      <c r="B4" s="34" t="s">
        <v>2030</v>
      </c>
      <c r="C4" s="611"/>
      <c r="D4" s="600"/>
      <c r="E4" s="35" t="s">
        <v>2031</v>
      </c>
      <c r="F4" s="38" t="s">
        <v>2032</v>
      </c>
      <c r="G4" s="38" t="s">
        <v>2033</v>
      </c>
      <c r="H4" s="38" t="s">
        <v>2034</v>
      </c>
      <c r="I4" s="36" t="s">
        <v>2035</v>
      </c>
      <c r="J4" s="38" t="s">
        <v>2036</v>
      </c>
      <c r="K4" s="36" t="s">
        <v>2037</v>
      </c>
      <c r="L4" s="36" t="s">
        <v>2038</v>
      </c>
      <c r="M4" s="36" t="s">
        <v>2039</v>
      </c>
      <c r="N4" s="39" t="s">
        <v>2040</v>
      </c>
      <c r="O4" s="36" t="s">
        <v>2041</v>
      </c>
      <c r="P4" s="36" t="s">
        <v>2042</v>
      </c>
      <c r="Q4" s="36" t="s">
        <v>2043</v>
      </c>
      <c r="R4" s="36"/>
      <c r="S4" s="36"/>
      <c r="T4" s="36"/>
      <c r="U4" s="36"/>
      <c r="V4" s="36"/>
      <c r="W4" s="36"/>
      <c r="X4" s="36"/>
      <c r="Y4" s="36"/>
      <c r="Z4" s="36"/>
      <c r="AA4" s="36"/>
      <c r="AB4" s="36"/>
      <c r="AC4" s="36"/>
      <c r="AD4" s="36"/>
    </row>
    <row r="5" spans="1:30" s="87" customFormat="1" ht="120" customHeight="1" x14ac:dyDescent="0.4">
      <c r="A5" s="603"/>
      <c r="B5" s="81" t="s">
        <v>2044</v>
      </c>
      <c r="C5" s="82" t="s">
        <v>2045</v>
      </c>
      <c r="D5" s="83" t="s">
        <v>781</v>
      </c>
      <c r="E5" s="84" t="s">
        <v>2046</v>
      </c>
      <c r="F5" s="83" t="s">
        <v>2047</v>
      </c>
      <c r="G5" s="84" t="s">
        <v>2048</v>
      </c>
      <c r="H5" s="85" t="s">
        <v>2049</v>
      </c>
      <c r="I5" s="85"/>
      <c r="J5" s="85" t="s">
        <v>2050</v>
      </c>
      <c r="K5" s="85" t="s">
        <v>2051</v>
      </c>
      <c r="L5" s="85"/>
      <c r="M5" s="86" t="s">
        <v>2052</v>
      </c>
      <c r="O5" s="86"/>
      <c r="P5" s="86"/>
      <c r="Q5" s="86"/>
      <c r="R5" s="86"/>
      <c r="S5" s="86"/>
      <c r="T5" s="86"/>
      <c r="U5" s="86"/>
      <c r="V5" s="86"/>
      <c r="W5" s="86"/>
      <c r="X5" s="86"/>
      <c r="Y5" s="86"/>
      <c r="Z5" s="86"/>
      <c r="AA5" s="86"/>
      <c r="AB5" s="86"/>
      <c r="AC5" s="86"/>
      <c r="AD5" s="86"/>
    </row>
    <row r="6" spans="1:30" s="87" customFormat="1" ht="134.1" customHeight="1" x14ac:dyDescent="0.4">
      <c r="A6" s="603"/>
      <c r="B6" s="88"/>
      <c r="C6" s="82" t="s">
        <v>2045</v>
      </c>
      <c r="D6" s="83" t="s">
        <v>2053</v>
      </c>
      <c r="E6" s="84" t="s">
        <v>2054</v>
      </c>
      <c r="F6" s="83"/>
      <c r="G6" s="89" t="s">
        <v>2055</v>
      </c>
      <c r="H6" s="85"/>
      <c r="I6" s="85" t="s">
        <v>2056</v>
      </c>
      <c r="J6" s="85" t="s">
        <v>2057</v>
      </c>
      <c r="K6" s="90" t="s">
        <v>2058</v>
      </c>
      <c r="L6" s="85" t="s">
        <v>2059</v>
      </c>
      <c r="M6" s="86" t="s">
        <v>2060</v>
      </c>
      <c r="N6" s="86" t="s">
        <v>2061</v>
      </c>
      <c r="O6" s="86"/>
      <c r="P6" s="86" t="s">
        <v>2062</v>
      </c>
      <c r="Q6" s="86" t="s">
        <v>2063</v>
      </c>
      <c r="R6" s="86"/>
      <c r="S6" s="86"/>
      <c r="T6" s="86"/>
      <c r="U6" s="86"/>
      <c r="V6" s="86"/>
      <c r="W6" s="86"/>
      <c r="X6" s="86"/>
      <c r="Y6" s="86"/>
      <c r="Z6" s="86"/>
      <c r="AA6" s="86"/>
      <c r="AB6" s="86"/>
      <c r="AC6" s="86"/>
      <c r="AD6" s="86"/>
    </row>
    <row r="7" spans="1:30" s="87" customFormat="1" ht="132" customHeight="1" x14ac:dyDescent="0.4">
      <c r="A7" s="603"/>
      <c r="B7" s="88"/>
      <c r="C7" s="82" t="s">
        <v>2045</v>
      </c>
      <c r="D7" s="83" t="s">
        <v>2053</v>
      </c>
      <c r="E7" s="84"/>
      <c r="F7" s="91" t="s">
        <v>2064</v>
      </c>
      <c r="G7" s="84" t="s">
        <v>2065</v>
      </c>
      <c r="H7" s="85"/>
      <c r="I7" s="85" t="s">
        <v>2066</v>
      </c>
      <c r="J7" s="85" t="s">
        <v>2067</v>
      </c>
      <c r="K7" s="85" t="s">
        <v>2068</v>
      </c>
      <c r="L7" s="85" t="s">
        <v>2069</v>
      </c>
      <c r="M7" s="86" t="s">
        <v>2070</v>
      </c>
      <c r="N7" s="86" t="s">
        <v>2071</v>
      </c>
      <c r="O7" s="86"/>
      <c r="P7" s="86" t="s">
        <v>2072</v>
      </c>
      <c r="Q7" s="86" t="s">
        <v>2073</v>
      </c>
      <c r="R7" s="86"/>
      <c r="S7" s="86"/>
      <c r="T7" s="86"/>
      <c r="U7" s="86"/>
      <c r="V7" s="86"/>
      <c r="W7" s="86"/>
      <c r="X7" s="86"/>
      <c r="Y7" s="86"/>
      <c r="Z7" s="86"/>
      <c r="AA7" s="86"/>
      <c r="AB7" s="86"/>
      <c r="AC7" s="86"/>
      <c r="AD7" s="86"/>
    </row>
    <row r="8" spans="1:30" s="87" customFormat="1" ht="135.15" customHeight="1" x14ac:dyDescent="0.4">
      <c r="A8" s="603"/>
      <c r="B8" s="88"/>
      <c r="C8" s="82" t="s">
        <v>2045</v>
      </c>
      <c r="D8" s="83" t="s">
        <v>2053</v>
      </c>
      <c r="E8" s="84"/>
      <c r="F8" s="91" t="s">
        <v>2074</v>
      </c>
      <c r="G8" s="84" t="s">
        <v>2075</v>
      </c>
      <c r="H8" s="85"/>
      <c r="I8" s="85" t="s">
        <v>2076</v>
      </c>
      <c r="J8" s="90" t="s">
        <v>2077</v>
      </c>
      <c r="K8" s="85" t="s">
        <v>2078</v>
      </c>
      <c r="L8" s="90" t="s">
        <v>2079</v>
      </c>
      <c r="M8" s="86" t="s">
        <v>2080</v>
      </c>
      <c r="N8" s="86" t="s">
        <v>2081</v>
      </c>
      <c r="O8" s="86"/>
      <c r="P8" s="86" t="s">
        <v>2082</v>
      </c>
      <c r="Q8" s="86" t="s">
        <v>2083</v>
      </c>
      <c r="R8" s="86"/>
      <c r="S8" s="86"/>
      <c r="T8" s="86"/>
      <c r="U8" s="86"/>
      <c r="V8" s="86"/>
      <c r="W8" s="86"/>
      <c r="X8" s="86"/>
      <c r="Y8" s="86"/>
      <c r="Z8" s="86"/>
      <c r="AA8" s="86"/>
      <c r="AB8" s="86"/>
      <c r="AC8" s="86"/>
      <c r="AD8" s="86"/>
    </row>
    <row r="9" spans="1:30" s="87" customFormat="1" ht="103.5" customHeight="1" x14ac:dyDescent="0.4">
      <c r="A9" s="603"/>
      <c r="B9" s="88"/>
      <c r="C9" s="82" t="s">
        <v>2045</v>
      </c>
      <c r="D9" s="83" t="s">
        <v>2053</v>
      </c>
      <c r="E9" s="84"/>
      <c r="F9" s="91" t="s">
        <v>2084</v>
      </c>
      <c r="G9" s="84"/>
      <c r="H9" s="85"/>
      <c r="I9" s="90" t="s">
        <v>2085</v>
      </c>
      <c r="J9" s="85" t="s">
        <v>2086</v>
      </c>
      <c r="K9" s="85" t="s">
        <v>2087</v>
      </c>
      <c r="L9" s="93" t="s">
        <v>2088</v>
      </c>
      <c r="M9" s="86"/>
      <c r="N9" s="92" t="s">
        <v>2089</v>
      </c>
      <c r="O9" s="86"/>
      <c r="P9" s="86" t="s">
        <v>2090</v>
      </c>
      <c r="Q9" s="86" t="s">
        <v>2091</v>
      </c>
      <c r="R9" s="86"/>
      <c r="S9" s="86"/>
      <c r="T9" s="86"/>
      <c r="U9" s="86"/>
      <c r="V9" s="86"/>
      <c r="W9" s="86"/>
      <c r="X9" s="86"/>
      <c r="Y9" s="86"/>
      <c r="Z9" s="86"/>
      <c r="AA9" s="86"/>
      <c r="AB9" s="86"/>
      <c r="AC9" s="86"/>
      <c r="AD9" s="86"/>
    </row>
    <row r="10" spans="1:30" s="87" customFormat="1" ht="108.6" customHeight="1" x14ac:dyDescent="0.4">
      <c r="A10" s="603"/>
      <c r="B10" s="88"/>
      <c r="C10" s="82"/>
      <c r="D10" s="83" t="s">
        <v>2053</v>
      </c>
      <c r="E10" s="84"/>
      <c r="F10" s="91"/>
      <c r="G10" s="84"/>
      <c r="H10" s="85"/>
      <c r="I10" s="90" t="s">
        <v>2092</v>
      </c>
      <c r="J10" s="90" t="s">
        <v>2093</v>
      </c>
      <c r="K10" s="85"/>
      <c r="L10" s="94" t="s">
        <v>2094</v>
      </c>
      <c r="M10" s="86"/>
      <c r="N10" s="86"/>
      <c r="O10" s="86"/>
      <c r="P10" s="86"/>
      <c r="Q10" s="86"/>
      <c r="R10" s="86"/>
      <c r="S10" s="86"/>
      <c r="T10" s="86"/>
      <c r="U10" s="86"/>
      <c r="V10" s="86"/>
      <c r="W10" s="86"/>
      <c r="X10" s="86"/>
      <c r="Y10" s="86"/>
      <c r="Z10" s="86"/>
      <c r="AA10" s="86"/>
      <c r="AB10" s="86"/>
      <c r="AC10" s="86"/>
      <c r="AD10" s="86"/>
    </row>
    <row r="11" spans="1:30" ht="102" customHeight="1" x14ac:dyDescent="0.4">
      <c r="A11" s="603"/>
      <c r="B11" s="44"/>
      <c r="C11" s="40" t="s">
        <v>2045</v>
      </c>
      <c r="D11" s="41" t="s">
        <v>2053</v>
      </c>
      <c r="E11" s="42" t="s">
        <v>2095</v>
      </c>
      <c r="F11" s="41" t="s">
        <v>2096</v>
      </c>
      <c r="G11" s="42"/>
      <c r="H11" s="43"/>
      <c r="I11" s="43"/>
      <c r="J11" s="43" t="s">
        <v>2097</v>
      </c>
      <c r="K11" s="43"/>
      <c r="L11" s="48"/>
      <c r="M11" s="36"/>
      <c r="N11" s="36"/>
      <c r="O11" s="36"/>
      <c r="P11" s="36"/>
      <c r="Q11" s="36"/>
      <c r="R11" s="36"/>
      <c r="S11" s="36"/>
      <c r="T11" s="36"/>
      <c r="U11" s="36"/>
      <c r="V11" s="36"/>
      <c r="W11" s="36"/>
      <c r="X11" s="36"/>
      <c r="Y11" s="36"/>
      <c r="Z11" s="36"/>
      <c r="AA11" s="36"/>
      <c r="AB11" s="36"/>
      <c r="AC11" s="36"/>
      <c r="AD11" s="36"/>
    </row>
    <row r="12" spans="1:30" s="87" customFormat="1" ht="81.150000000000006" customHeight="1" x14ac:dyDescent="0.4">
      <c r="A12" s="603"/>
      <c r="B12" s="608" t="str">
        <f>B5</f>
        <v>Scope 1 et 2</v>
      </c>
      <c r="C12" s="95" t="s">
        <v>2098</v>
      </c>
      <c r="D12" s="83" t="s">
        <v>833</v>
      </c>
      <c r="E12" s="85"/>
      <c r="F12" s="91" t="s">
        <v>2099</v>
      </c>
      <c r="G12" s="96" t="s">
        <v>2100</v>
      </c>
      <c r="H12" s="90" t="s">
        <v>2101</v>
      </c>
      <c r="I12" s="90" t="s">
        <v>2102</v>
      </c>
      <c r="J12" s="90" t="s">
        <v>2103</v>
      </c>
      <c r="K12" s="90" t="s">
        <v>2104</v>
      </c>
      <c r="L12" s="90" t="s">
        <v>2105</v>
      </c>
      <c r="M12" s="86" t="s">
        <v>2106</v>
      </c>
      <c r="N12" s="86" t="s">
        <v>2107</v>
      </c>
      <c r="O12" s="86"/>
      <c r="P12" s="86"/>
      <c r="Q12" s="86"/>
      <c r="R12" s="86"/>
      <c r="S12" s="86"/>
      <c r="T12" s="86"/>
      <c r="U12" s="86"/>
      <c r="V12" s="86"/>
      <c r="W12" s="86"/>
      <c r="X12" s="86"/>
      <c r="Y12" s="86"/>
      <c r="Z12" s="86"/>
      <c r="AA12" s="86"/>
      <c r="AB12" s="86"/>
      <c r="AC12" s="86"/>
      <c r="AD12" s="86"/>
    </row>
    <row r="13" spans="1:30" s="87" customFormat="1" ht="147" x14ac:dyDescent="0.4">
      <c r="A13" s="603"/>
      <c r="B13" s="608"/>
      <c r="C13" s="95" t="s">
        <v>2098</v>
      </c>
      <c r="D13" s="83" t="s">
        <v>833</v>
      </c>
      <c r="E13" s="85"/>
      <c r="F13" s="91" t="s">
        <v>2108</v>
      </c>
      <c r="G13" s="89" t="s">
        <v>2109</v>
      </c>
      <c r="H13" s="90" t="s">
        <v>2110</v>
      </c>
      <c r="I13" s="90" t="s">
        <v>2111</v>
      </c>
      <c r="J13" s="95" t="s">
        <v>2112</v>
      </c>
      <c r="K13" s="90" t="s">
        <v>2113</v>
      </c>
      <c r="L13" s="47" t="s">
        <v>2114</v>
      </c>
      <c r="M13" s="86"/>
      <c r="N13" s="86" t="s">
        <v>2115</v>
      </c>
      <c r="O13" s="86"/>
      <c r="P13" s="86"/>
      <c r="Q13" s="86"/>
      <c r="R13" s="86"/>
      <c r="S13" s="86"/>
      <c r="T13" s="86"/>
      <c r="U13" s="86"/>
      <c r="V13" s="86"/>
      <c r="W13" s="86"/>
      <c r="X13" s="86"/>
      <c r="Y13" s="86"/>
      <c r="Z13" s="86"/>
      <c r="AA13" s="86"/>
      <c r="AB13" s="86"/>
      <c r="AC13" s="86"/>
      <c r="AD13" s="86"/>
    </row>
    <row r="14" spans="1:30" ht="84" x14ac:dyDescent="0.4">
      <c r="A14" s="603"/>
      <c r="B14" s="608"/>
      <c r="C14" s="49" t="s">
        <v>2098</v>
      </c>
      <c r="D14" s="41" t="s">
        <v>833</v>
      </c>
      <c r="E14" s="43"/>
      <c r="F14" s="23" t="s">
        <v>2064</v>
      </c>
      <c r="G14" s="45" t="s">
        <v>2116</v>
      </c>
      <c r="H14" s="43" t="s">
        <v>2117</v>
      </c>
      <c r="I14" s="46" t="s">
        <v>2118</v>
      </c>
      <c r="J14" s="46" t="s">
        <v>2119</v>
      </c>
      <c r="K14" s="46" t="s">
        <v>2120</v>
      </c>
      <c r="L14" s="47" t="s">
        <v>2121</v>
      </c>
      <c r="M14" s="36"/>
      <c r="N14" s="36" t="s">
        <v>2122</v>
      </c>
      <c r="O14" s="36"/>
      <c r="P14" s="36"/>
      <c r="Q14" s="36"/>
      <c r="R14" s="36"/>
      <c r="S14" s="36"/>
      <c r="T14" s="36"/>
      <c r="U14" s="36"/>
      <c r="V14" s="36"/>
      <c r="W14" s="36"/>
      <c r="X14" s="36"/>
      <c r="Y14" s="36"/>
      <c r="Z14" s="36"/>
      <c r="AA14" s="36"/>
      <c r="AB14" s="36"/>
      <c r="AC14" s="36"/>
      <c r="AD14" s="36"/>
    </row>
    <row r="15" spans="1:30" ht="84" x14ac:dyDescent="0.4">
      <c r="A15" s="603"/>
      <c r="B15" s="608"/>
      <c r="C15" s="49" t="s">
        <v>2098</v>
      </c>
      <c r="D15" s="41" t="s">
        <v>833</v>
      </c>
      <c r="E15" s="43"/>
      <c r="F15" s="23" t="s">
        <v>2123</v>
      </c>
      <c r="G15" s="51"/>
      <c r="H15" s="46" t="s">
        <v>2124</v>
      </c>
      <c r="I15" s="43" t="s">
        <v>2125</v>
      </c>
      <c r="J15" s="49" t="s">
        <v>2126</v>
      </c>
      <c r="K15" s="46" t="s">
        <v>2127</v>
      </c>
      <c r="L15" s="47" t="s">
        <v>2128</v>
      </c>
      <c r="M15" s="36"/>
      <c r="N15" s="36" t="s">
        <v>2129</v>
      </c>
      <c r="O15" s="36"/>
      <c r="P15" s="36"/>
      <c r="Q15" s="36"/>
      <c r="R15" s="36"/>
      <c r="S15" s="36"/>
      <c r="T15" s="36"/>
      <c r="U15" s="36"/>
      <c r="V15" s="36"/>
      <c r="W15" s="36"/>
      <c r="X15" s="36"/>
      <c r="Y15" s="36"/>
      <c r="Z15" s="36"/>
      <c r="AA15" s="36"/>
      <c r="AB15" s="36"/>
      <c r="AC15" s="36"/>
      <c r="AD15" s="36"/>
    </row>
    <row r="16" spans="1:30" ht="84" x14ac:dyDescent="0.4">
      <c r="A16" s="603"/>
      <c r="B16" s="608"/>
      <c r="C16" s="49" t="s">
        <v>2098</v>
      </c>
      <c r="D16" s="41" t="s">
        <v>833</v>
      </c>
      <c r="E16" s="43"/>
      <c r="F16" s="23" t="s">
        <v>2130</v>
      </c>
      <c r="G16" s="45" t="s">
        <v>2131</v>
      </c>
      <c r="H16" s="46" t="s">
        <v>2132</v>
      </c>
      <c r="I16" s="46" t="s">
        <v>2133</v>
      </c>
      <c r="J16" s="46" t="s">
        <v>2134</v>
      </c>
      <c r="K16" s="46" t="s">
        <v>2135</v>
      </c>
      <c r="L16" s="47" t="s">
        <v>2136</v>
      </c>
      <c r="M16" s="36"/>
      <c r="N16" s="36" t="s">
        <v>2137</v>
      </c>
      <c r="O16" s="36"/>
      <c r="P16" s="36"/>
      <c r="Q16" s="36"/>
      <c r="R16" s="36"/>
      <c r="S16" s="36"/>
      <c r="T16" s="36"/>
      <c r="U16" s="36"/>
      <c r="V16" s="36"/>
      <c r="W16" s="36"/>
      <c r="X16" s="36"/>
      <c r="Y16" s="36"/>
      <c r="Z16" s="36"/>
      <c r="AA16" s="36"/>
      <c r="AB16" s="36"/>
      <c r="AC16" s="36"/>
      <c r="AD16" s="36"/>
    </row>
    <row r="17" spans="1:30" ht="147" x14ac:dyDescent="0.4">
      <c r="A17" s="603"/>
      <c r="B17" s="608"/>
      <c r="C17" s="49" t="s">
        <v>2098</v>
      </c>
      <c r="D17" s="41" t="s">
        <v>833</v>
      </c>
      <c r="E17" s="43"/>
      <c r="F17" s="23" t="s">
        <v>2138</v>
      </c>
      <c r="G17" s="45" t="s">
        <v>2139</v>
      </c>
      <c r="H17" s="46" t="s">
        <v>2140</v>
      </c>
      <c r="I17" s="46" t="s">
        <v>2141</v>
      </c>
      <c r="J17" s="46" t="s">
        <v>2142</v>
      </c>
      <c r="K17" s="46" t="s">
        <v>2143</v>
      </c>
      <c r="L17" s="47" t="s">
        <v>2144</v>
      </c>
      <c r="M17" s="36"/>
      <c r="N17" s="36" t="s">
        <v>2145</v>
      </c>
      <c r="O17" s="36"/>
      <c r="P17" s="36"/>
      <c r="Q17" s="36"/>
      <c r="R17" s="36"/>
      <c r="S17" s="36"/>
      <c r="T17" s="36"/>
      <c r="U17" s="36"/>
      <c r="V17" s="36"/>
      <c r="W17" s="36"/>
      <c r="X17" s="36"/>
      <c r="Y17" s="36"/>
      <c r="Z17" s="36"/>
      <c r="AA17" s="36"/>
      <c r="AB17" s="36"/>
      <c r="AC17" s="36"/>
      <c r="AD17" s="36"/>
    </row>
    <row r="18" spans="1:30" ht="126" x14ac:dyDescent="0.4">
      <c r="A18" s="603"/>
      <c r="B18" s="608"/>
      <c r="C18" s="49" t="s">
        <v>2098</v>
      </c>
      <c r="D18" s="41" t="s">
        <v>833</v>
      </c>
      <c r="E18" s="43"/>
      <c r="F18" s="23" t="s">
        <v>2146</v>
      </c>
      <c r="G18" s="50"/>
      <c r="H18" s="43" t="s">
        <v>2147</v>
      </c>
      <c r="I18" s="43"/>
      <c r="J18" s="97" t="s">
        <v>2148</v>
      </c>
      <c r="K18" s="46" t="s">
        <v>2149</v>
      </c>
      <c r="L18" s="98" t="s">
        <v>2150</v>
      </c>
      <c r="M18" s="36"/>
      <c r="N18" s="36" t="s">
        <v>2151</v>
      </c>
      <c r="O18" s="36"/>
      <c r="P18" s="36"/>
      <c r="Q18" s="36"/>
      <c r="R18" s="36"/>
      <c r="S18" s="36"/>
      <c r="T18" s="36"/>
      <c r="U18" s="36"/>
      <c r="V18" s="36"/>
      <c r="W18" s="36"/>
      <c r="X18" s="36"/>
      <c r="Y18" s="36"/>
      <c r="Z18" s="36"/>
      <c r="AA18" s="36"/>
      <c r="AB18" s="36"/>
      <c r="AC18" s="36"/>
      <c r="AD18" s="36"/>
    </row>
    <row r="19" spans="1:30" ht="105" x14ac:dyDescent="0.4">
      <c r="A19" s="603"/>
      <c r="B19" s="608"/>
      <c r="C19" s="49" t="s">
        <v>2098</v>
      </c>
      <c r="D19" s="41" t="s">
        <v>833</v>
      </c>
      <c r="E19" s="43" t="s">
        <v>2152</v>
      </c>
      <c r="F19" s="52" t="s">
        <v>2153</v>
      </c>
      <c r="G19" s="50"/>
      <c r="H19" s="43" t="s">
        <v>2154</v>
      </c>
      <c r="I19" s="43"/>
      <c r="J19" s="46" t="s">
        <v>2155</v>
      </c>
      <c r="K19" s="43"/>
      <c r="L19" s="47" t="s">
        <v>2156</v>
      </c>
      <c r="M19" s="36"/>
      <c r="N19" s="36"/>
      <c r="O19" s="36"/>
      <c r="P19" s="36"/>
      <c r="Q19" s="36"/>
      <c r="R19" s="36"/>
      <c r="S19" s="36"/>
      <c r="T19" s="36"/>
      <c r="U19" s="36"/>
      <c r="V19" s="36"/>
      <c r="W19" s="36"/>
      <c r="X19" s="36"/>
      <c r="Y19" s="36"/>
      <c r="Z19" s="36"/>
      <c r="AA19" s="36"/>
      <c r="AB19" s="36"/>
      <c r="AC19" s="36"/>
      <c r="AD19" s="36"/>
    </row>
    <row r="20" spans="1:30" ht="17.100000000000001" customHeight="1" x14ac:dyDescent="0.4">
      <c r="A20" s="603"/>
      <c r="B20" s="608"/>
      <c r="C20" s="49" t="s">
        <v>2098</v>
      </c>
      <c r="D20" s="41" t="s">
        <v>833</v>
      </c>
      <c r="E20" s="43"/>
      <c r="F20" s="23" t="s">
        <v>2084</v>
      </c>
      <c r="G20" s="50"/>
      <c r="H20" s="43"/>
      <c r="I20" s="43"/>
      <c r="J20" s="43"/>
      <c r="K20" s="43"/>
      <c r="L20" s="47" t="s">
        <v>2157</v>
      </c>
      <c r="M20" s="36"/>
      <c r="N20" s="36"/>
      <c r="O20" s="36"/>
      <c r="P20" s="36"/>
      <c r="Q20" s="36"/>
      <c r="R20" s="36"/>
      <c r="S20" s="36"/>
      <c r="T20" s="36"/>
      <c r="U20" s="36"/>
      <c r="V20" s="36"/>
      <c r="W20" s="36"/>
      <c r="X20" s="36"/>
      <c r="Y20" s="36"/>
      <c r="Z20" s="36"/>
      <c r="AA20" s="36"/>
      <c r="AB20" s="36"/>
      <c r="AC20" s="36"/>
      <c r="AD20" s="36"/>
    </row>
    <row r="21" spans="1:30" ht="21" x14ac:dyDescent="0.4">
      <c r="A21" s="603"/>
      <c r="B21" s="608"/>
      <c r="C21" s="49" t="s">
        <v>2098</v>
      </c>
      <c r="D21" s="41" t="s">
        <v>833</v>
      </c>
      <c r="E21" s="43"/>
      <c r="F21" s="23" t="s">
        <v>2158</v>
      </c>
      <c r="G21" s="50"/>
      <c r="H21" s="43"/>
      <c r="I21" s="43"/>
      <c r="J21" s="43"/>
      <c r="K21" s="43"/>
      <c r="L21" s="48"/>
      <c r="M21" s="36"/>
      <c r="N21" s="36"/>
      <c r="O21" s="36"/>
      <c r="P21" s="36"/>
      <c r="Q21" s="36"/>
      <c r="R21" s="36"/>
      <c r="S21" s="36"/>
      <c r="T21" s="36"/>
      <c r="U21" s="36"/>
      <c r="V21" s="36"/>
      <c r="W21" s="36"/>
      <c r="X21" s="36"/>
      <c r="Y21" s="36"/>
      <c r="Z21" s="36"/>
      <c r="AA21" s="36"/>
      <c r="AB21" s="36"/>
      <c r="AC21" s="36"/>
      <c r="AD21" s="36"/>
    </row>
    <row r="22" spans="1:30" ht="21" collapsed="1" x14ac:dyDescent="0.4">
      <c r="A22" s="603"/>
      <c r="B22" s="608"/>
      <c r="C22" s="49" t="s">
        <v>2098</v>
      </c>
      <c r="D22" s="41" t="s">
        <v>833</v>
      </c>
      <c r="E22" s="43"/>
      <c r="F22" s="23" t="s">
        <v>2096</v>
      </c>
      <c r="G22" s="51"/>
      <c r="H22" s="43"/>
      <c r="I22" s="43"/>
      <c r="J22" s="43"/>
      <c r="K22" s="43"/>
      <c r="L22" s="48"/>
      <c r="M22" s="36"/>
      <c r="N22" s="36"/>
      <c r="O22" s="36"/>
      <c r="P22" s="36"/>
      <c r="Q22" s="36"/>
      <c r="R22" s="36"/>
      <c r="S22" s="36"/>
      <c r="T22" s="36"/>
      <c r="U22" s="36"/>
      <c r="V22" s="36"/>
      <c r="W22" s="36"/>
      <c r="X22" s="36"/>
      <c r="Y22" s="36"/>
      <c r="Z22" s="36"/>
      <c r="AA22" s="36"/>
      <c r="AB22" s="36"/>
      <c r="AC22" s="36"/>
      <c r="AD22" s="36"/>
    </row>
    <row r="23" spans="1:30" ht="126" collapsed="1" x14ac:dyDescent="0.4">
      <c r="A23" s="603"/>
      <c r="B23" s="608" t="s">
        <v>2044</v>
      </c>
      <c r="C23" s="49" t="s">
        <v>2098</v>
      </c>
      <c r="D23" s="41" t="s">
        <v>818</v>
      </c>
      <c r="E23" s="43"/>
      <c r="F23" s="23" t="s">
        <v>2159</v>
      </c>
      <c r="G23" s="45" t="s">
        <v>2160</v>
      </c>
      <c r="H23" s="46" t="s">
        <v>2161</v>
      </c>
      <c r="I23" s="53" t="s">
        <v>1244</v>
      </c>
      <c r="J23" s="46" t="s">
        <v>2162</v>
      </c>
      <c r="K23" s="43" t="s">
        <v>2163</v>
      </c>
      <c r="L23" s="47" t="s">
        <v>2164</v>
      </c>
      <c r="M23" s="36" t="s">
        <v>2165</v>
      </c>
      <c r="N23" s="36"/>
      <c r="O23" s="36"/>
      <c r="P23" s="36"/>
      <c r="Q23" s="36" t="s">
        <v>2166</v>
      </c>
      <c r="R23" s="36"/>
      <c r="S23" s="36"/>
      <c r="T23" s="36"/>
      <c r="U23" s="36"/>
      <c r="V23" s="36"/>
      <c r="W23" s="36"/>
      <c r="X23" s="36"/>
      <c r="Y23" s="36"/>
      <c r="Z23" s="36"/>
      <c r="AA23" s="36"/>
      <c r="AB23" s="36"/>
      <c r="AC23" s="36"/>
      <c r="AD23" s="36"/>
    </row>
    <row r="24" spans="1:30" ht="102" customHeight="1" x14ac:dyDescent="0.4">
      <c r="A24" s="603"/>
      <c r="B24" s="608"/>
      <c r="C24" s="49" t="s">
        <v>2098</v>
      </c>
      <c r="D24" s="41" t="s">
        <v>818</v>
      </c>
      <c r="E24" s="43"/>
      <c r="F24" s="23" t="s">
        <v>2108</v>
      </c>
      <c r="G24" s="45" t="s">
        <v>2167</v>
      </c>
      <c r="H24" s="46" t="s">
        <v>2168</v>
      </c>
      <c r="I24" s="53" t="s">
        <v>2169</v>
      </c>
      <c r="J24" s="46" t="s">
        <v>2170</v>
      </c>
      <c r="K24" s="46" t="s">
        <v>2171</v>
      </c>
      <c r="L24" s="47" t="s">
        <v>2172</v>
      </c>
      <c r="M24" s="36"/>
      <c r="N24" s="36"/>
      <c r="O24" s="36"/>
      <c r="P24" s="36"/>
      <c r="Q24" s="36"/>
      <c r="R24" s="36"/>
      <c r="S24" s="36"/>
      <c r="T24" s="36"/>
      <c r="U24" s="36"/>
      <c r="V24" s="36"/>
      <c r="W24" s="36"/>
      <c r="X24" s="36"/>
      <c r="Y24" s="36"/>
      <c r="Z24" s="36"/>
      <c r="AA24" s="36"/>
      <c r="AB24" s="36"/>
      <c r="AC24" s="36"/>
      <c r="AD24" s="36"/>
    </row>
    <row r="25" spans="1:30" ht="107.1" customHeight="1" x14ac:dyDescent="0.4">
      <c r="A25" s="603"/>
      <c r="B25" s="608"/>
      <c r="C25" s="49" t="s">
        <v>2098</v>
      </c>
      <c r="D25" s="41" t="s">
        <v>818</v>
      </c>
      <c r="E25" s="43"/>
      <c r="F25" s="23" t="s">
        <v>1219</v>
      </c>
      <c r="G25" s="45" t="s">
        <v>2173</v>
      </c>
      <c r="H25" s="46" t="s">
        <v>2174</v>
      </c>
      <c r="I25" s="53" t="s">
        <v>2175</v>
      </c>
      <c r="J25" s="49" t="s">
        <v>2176</v>
      </c>
      <c r="K25" s="46" t="s">
        <v>2177</v>
      </c>
      <c r="L25" s="48" t="s">
        <v>2178</v>
      </c>
      <c r="M25" s="36"/>
      <c r="N25" s="36"/>
      <c r="O25" s="36"/>
      <c r="P25" s="36"/>
      <c r="Q25" s="36"/>
      <c r="R25" s="36"/>
      <c r="S25" s="36"/>
      <c r="T25" s="36"/>
      <c r="U25" s="36"/>
      <c r="V25" s="36"/>
      <c r="W25" s="36"/>
      <c r="X25" s="36"/>
      <c r="Y25" s="36"/>
      <c r="Z25" s="36"/>
      <c r="AA25" s="36"/>
      <c r="AB25" s="36"/>
      <c r="AC25" s="36"/>
      <c r="AD25" s="36"/>
    </row>
    <row r="26" spans="1:30" ht="96" customHeight="1" x14ac:dyDescent="0.4">
      <c r="A26" s="603"/>
      <c r="B26" s="608"/>
      <c r="C26" s="49" t="s">
        <v>2098</v>
      </c>
      <c r="D26" s="41" t="s">
        <v>818</v>
      </c>
      <c r="E26" s="43"/>
      <c r="F26" s="23" t="s">
        <v>2179</v>
      </c>
      <c r="G26" s="45" t="s">
        <v>2180</v>
      </c>
      <c r="H26" s="46" t="s">
        <v>2181</v>
      </c>
      <c r="I26" s="53" t="s">
        <v>2182</v>
      </c>
      <c r="J26" s="49" t="s">
        <v>2183</v>
      </c>
      <c r="K26" s="43"/>
      <c r="L26" s="47" t="s">
        <v>2184</v>
      </c>
      <c r="M26" s="36"/>
      <c r="N26" s="36"/>
      <c r="O26" s="36"/>
      <c r="P26" s="36"/>
      <c r="Q26" s="36"/>
      <c r="R26" s="36"/>
      <c r="S26" s="36"/>
      <c r="T26" s="36"/>
      <c r="U26" s="36"/>
      <c r="V26" s="36"/>
      <c r="W26" s="36"/>
      <c r="X26" s="36"/>
      <c r="Y26" s="36"/>
      <c r="Z26" s="36"/>
      <c r="AA26" s="36"/>
      <c r="AB26" s="36"/>
      <c r="AC26" s="36"/>
      <c r="AD26" s="36"/>
    </row>
    <row r="27" spans="1:30" ht="110.1" customHeight="1" x14ac:dyDescent="0.4">
      <c r="A27" s="603"/>
      <c r="B27" s="608"/>
      <c r="C27" s="49" t="s">
        <v>2098</v>
      </c>
      <c r="D27" s="41" t="s">
        <v>818</v>
      </c>
      <c r="E27" s="43"/>
      <c r="F27" s="23" t="s">
        <v>2158</v>
      </c>
      <c r="G27" s="45" t="s">
        <v>2185</v>
      </c>
      <c r="H27" s="46" t="s">
        <v>2186</v>
      </c>
      <c r="I27" s="53" t="s">
        <v>2187</v>
      </c>
      <c r="J27" s="46" t="s">
        <v>2188</v>
      </c>
      <c r="K27" s="43"/>
      <c r="L27" s="47" t="s">
        <v>2189</v>
      </c>
      <c r="M27" s="36"/>
      <c r="N27" s="36"/>
      <c r="O27" s="36"/>
      <c r="P27" s="36"/>
      <c r="Q27" s="36"/>
      <c r="R27" s="36"/>
      <c r="S27" s="36"/>
      <c r="T27" s="36"/>
      <c r="U27" s="36"/>
      <c r="V27" s="36"/>
      <c r="W27" s="36"/>
      <c r="X27" s="36"/>
      <c r="Y27" s="36"/>
      <c r="Z27" s="36"/>
      <c r="AA27" s="36"/>
      <c r="AB27" s="36"/>
      <c r="AC27" s="36"/>
      <c r="AD27" s="36"/>
    </row>
    <row r="28" spans="1:30" ht="126" x14ac:dyDescent="0.4">
      <c r="A28" s="603"/>
      <c r="B28" s="608"/>
      <c r="C28" s="49" t="s">
        <v>2098</v>
      </c>
      <c r="D28" s="41" t="s">
        <v>818</v>
      </c>
      <c r="E28" s="43"/>
      <c r="F28" s="23" t="s">
        <v>2190</v>
      </c>
      <c r="G28" s="45" t="s">
        <v>2191</v>
      </c>
      <c r="H28" s="46" t="s">
        <v>2192</v>
      </c>
      <c r="I28" s="43"/>
      <c r="J28" s="46" t="s">
        <v>2193</v>
      </c>
      <c r="K28" s="43"/>
      <c r="L28" s="54"/>
      <c r="M28" s="36"/>
      <c r="N28" s="36"/>
      <c r="O28" s="36"/>
      <c r="P28" s="36"/>
      <c r="Q28" s="36"/>
      <c r="R28" s="36"/>
      <c r="S28" s="36"/>
      <c r="T28" s="36"/>
      <c r="U28" s="36"/>
      <c r="V28" s="36"/>
      <c r="W28" s="36"/>
      <c r="X28" s="36"/>
      <c r="Y28" s="36"/>
      <c r="Z28" s="36"/>
      <c r="AA28" s="36"/>
      <c r="AB28" s="36"/>
      <c r="AC28" s="36"/>
      <c r="AD28" s="36"/>
    </row>
    <row r="29" spans="1:30" ht="89.1" customHeight="1" x14ac:dyDescent="0.4">
      <c r="A29" s="603"/>
      <c r="B29" s="608"/>
      <c r="C29" s="49" t="s">
        <v>2098</v>
      </c>
      <c r="D29" s="41" t="s">
        <v>818</v>
      </c>
      <c r="E29" s="43"/>
      <c r="F29" s="23" t="s">
        <v>2194</v>
      </c>
      <c r="G29" s="45" t="s">
        <v>2195</v>
      </c>
      <c r="H29" s="43"/>
      <c r="I29" s="43"/>
      <c r="J29" s="43"/>
      <c r="K29" s="43"/>
      <c r="L29" s="54"/>
      <c r="M29" s="36"/>
      <c r="N29" s="36"/>
      <c r="O29" s="36"/>
      <c r="P29" s="36"/>
      <c r="Q29" s="36"/>
      <c r="R29" s="36"/>
      <c r="S29" s="36"/>
      <c r="T29" s="36"/>
      <c r="U29" s="36"/>
      <c r="V29" s="36"/>
      <c r="W29" s="36"/>
      <c r="X29" s="36"/>
      <c r="Y29" s="36"/>
      <c r="Z29" s="36"/>
      <c r="AA29" s="36"/>
      <c r="AB29" s="36"/>
      <c r="AC29" s="36"/>
      <c r="AD29" s="36"/>
    </row>
    <row r="30" spans="1:30" ht="84" x14ac:dyDescent="0.4">
      <c r="A30" s="603"/>
      <c r="B30" s="608"/>
      <c r="C30" s="49" t="s">
        <v>2098</v>
      </c>
      <c r="D30" s="41" t="s">
        <v>762</v>
      </c>
      <c r="E30" s="43" t="s">
        <v>2196</v>
      </c>
      <c r="F30" s="52" t="s">
        <v>2197</v>
      </c>
      <c r="G30" s="55" t="s">
        <v>2198</v>
      </c>
      <c r="H30" s="43"/>
      <c r="I30" s="43"/>
      <c r="J30" s="43"/>
      <c r="K30" s="43"/>
      <c r="L30" s="48"/>
      <c r="M30" s="36"/>
      <c r="N30" s="36"/>
      <c r="O30" s="36"/>
      <c r="P30" s="36"/>
      <c r="Q30" s="36"/>
      <c r="R30" s="36"/>
      <c r="S30" s="36"/>
      <c r="T30" s="36"/>
      <c r="U30" s="36"/>
      <c r="V30" s="36"/>
      <c r="W30" s="36"/>
      <c r="X30" s="36"/>
      <c r="Y30" s="36"/>
      <c r="Z30" s="36"/>
      <c r="AA30" s="36"/>
      <c r="AB30" s="36"/>
      <c r="AC30" s="36"/>
      <c r="AD30" s="36"/>
    </row>
    <row r="31" spans="1:30" ht="21" x14ac:dyDescent="0.4">
      <c r="A31" s="603"/>
      <c r="B31" s="608"/>
      <c r="C31" s="49" t="s">
        <v>2098</v>
      </c>
      <c r="D31" s="41" t="s">
        <v>762</v>
      </c>
      <c r="E31" s="43"/>
      <c r="F31" s="23" t="s">
        <v>2199</v>
      </c>
      <c r="G31" s="50"/>
      <c r="H31" s="43"/>
      <c r="I31" s="43"/>
      <c r="J31" s="43"/>
      <c r="K31" s="43"/>
      <c r="L31" s="54"/>
      <c r="M31" s="36"/>
      <c r="N31" s="36"/>
      <c r="O31" s="36"/>
      <c r="P31" s="36"/>
      <c r="Q31" s="36"/>
      <c r="R31" s="36"/>
      <c r="S31" s="36"/>
      <c r="T31" s="36"/>
      <c r="U31" s="36"/>
      <c r="V31" s="36"/>
      <c r="W31" s="36"/>
      <c r="X31" s="36"/>
      <c r="Y31" s="36"/>
      <c r="Z31" s="36"/>
      <c r="AA31" s="36"/>
      <c r="AB31" s="36"/>
      <c r="AC31" s="36"/>
      <c r="AD31" s="36"/>
    </row>
    <row r="32" spans="1:30" ht="21" x14ac:dyDescent="0.4">
      <c r="A32" s="603"/>
      <c r="B32" s="608"/>
      <c r="C32" s="49" t="s">
        <v>2098</v>
      </c>
      <c r="D32" s="41" t="s">
        <v>762</v>
      </c>
      <c r="E32" s="43"/>
      <c r="F32" s="23" t="s">
        <v>2200</v>
      </c>
      <c r="G32" s="50"/>
      <c r="H32" s="43"/>
      <c r="I32" s="43"/>
      <c r="J32" s="43"/>
      <c r="K32" s="43"/>
      <c r="L32" s="54"/>
      <c r="M32" s="36"/>
      <c r="N32" s="36"/>
      <c r="O32" s="36"/>
      <c r="P32" s="36"/>
      <c r="Q32" s="36"/>
      <c r="R32" s="36"/>
      <c r="S32" s="36"/>
      <c r="T32" s="36"/>
      <c r="U32" s="36"/>
      <c r="V32" s="36"/>
      <c r="W32" s="36"/>
      <c r="X32" s="36"/>
      <c r="Y32" s="36"/>
      <c r="Z32" s="36"/>
      <c r="AA32" s="36"/>
      <c r="AB32" s="36"/>
      <c r="AC32" s="36"/>
      <c r="AD32" s="36"/>
    </row>
    <row r="33" spans="1:30" ht="126" x14ac:dyDescent="0.4">
      <c r="A33" s="603"/>
      <c r="B33" s="608" t="str">
        <f>B23</f>
        <v>Scope 1 et 2</v>
      </c>
      <c r="C33" s="56" t="s">
        <v>2201</v>
      </c>
      <c r="D33" s="41" t="s">
        <v>2202</v>
      </c>
      <c r="E33" s="43"/>
      <c r="F33" s="23" t="s">
        <v>2203</v>
      </c>
      <c r="G33" s="45" t="s">
        <v>2204</v>
      </c>
      <c r="H33" s="43"/>
      <c r="I33" s="46" t="s">
        <v>2205</v>
      </c>
      <c r="J33" s="57" t="s">
        <v>2206</v>
      </c>
      <c r="K33" s="46" t="s">
        <v>2207</v>
      </c>
      <c r="L33" s="47" t="s">
        <v>2208</v>
      </c>
      <c r="M33" s="36" t="s">
        <v>2209</v>
      </c>
      <c r="N33" s="58" t="s">
        <v>2210</v>
      </c>
      <c r="O33" s="36"/>
      <c r="P33" s="36"/>
      <c r="Q33" s="36" t="s">
        <v>2211</v>
      </c>
      <c r="R33" s="36"/>
      <c r="S33" s="36"/>
      <c r="T33" s="36"/>
      <c r="U33" s="36"/>
      <c r="V33" s="36"/>
      <c r="W33" s="36"/>
      <c r="X33" s="36"/>
      <c r="Y33" s="36"/>
      <c r="Z33" s="36"/>
      <c r="AA33" s="36"/>
      <c r="AB33" s="36"/>
      <c r="AC33" s="36"/>
      <c r="AD33" s="36"/>
    </row>
    <row r="34" spans="1:30" ht="105" x14ac:dyDescent="0.4">
      <c r="A34" s="603"/>
      <c r="B34" s="608"/>
      <c r="C34" s="56" t="s">
        <v>2201</v>
      </c>
      <c r="D34" s="41" t="s">
        <v>2202</v>
      </c>
      <c r="E34" s="43"/>
      <c r="F34" s="23" t="s">
        <v>2212</v>
      </c>
      <c r="G34" s="50"/>
      <c r="H34" s="43"/>
      <c r="I34" s="46" t="s">
        <v>2213</v>
      </c>
      <c r="J34" s="49" t="s">
        <v>2214</v>
      </c>
      <c r="K34" s="46" t="s">
        <v>2215</v>
      </c>
      <c r="L34" s="47" t="s">
        <v>2216</v>
      </c>
      <c r="M34" s="36" t="s">
        <v>2217</v>
      </c>
      <c r="N34" s="36" t="s">
        <v>2218</v>
      </c>
      <c r="O34" s="36"/>
      <c r="P34" s="36"/>
      <c r="Q34" s="36" t="s">
        <v>2219</v>
      </c>
      <c r="R34" s="36"/>
      <c r="S34" s="36"/>
      <c r="T34" s="36"/>
      <c r="U34" s="36"/>
      <c r="V34" s="36"/>
      <c r="W34" s="36"/>
      <c r="X34" s="36"/>
      <c r="Y34" s="36"/>
      <c r="Z34" s="36"/>
      <c r="AA34" s="36"/>
      <c r="AB34" s="36"/>
      <c r="AC34" s="36"/>
      <c r="AD34" s="36"/>
    </row>
    <row r="35" spans="1:30" ht="189" x14ac:dyDescent="0.4">
      <c r="A35" s="603"/>
      <c r="B35" s="608"/>
      <c r="C35" s="56" t="str">
        <f>C34</f>
        <v>Transport</v>
      </c>
      <c r="D35" s="41" t="s">
        <v>2202</v>
      </c>
      <c r="E35" s="43"/>
      <c r="F35" s="23"/>
      <c r="G35" s="50"/>
      <c r="H35" s="43"/>
      <c r="I35" s="43"/>
      <c r="J35" s="41"/>
      <c r="K35" s="46" t="s">
        <v>2220</v>
      </c>
      <c r="L35" s="47" t="s">
        <v>2221</v>
      </c>
      <c r="M35" s="36" t="s">
        <v>2222</v>
      </c>
      <c r="N35" s="36" t="s">
        <v>2223</v>
      </c>
      <c r="O35" s="36"/>
      <c r="P35" s="36"/>
      <c r="Q35" s="36" t="s">
        <v>2224</v>
      </c>
      <c r="R35" s="36"/>
      <c r="S35" s="36"/>
      <c r="T35" s="36"/>
      <c r="U35" s="36"/>
      <c r="V35" s="36"/>
      <c r="W35" s="36"/>
      <c r="X35" s="36"/>
      <c r="Y35" s="36"/>
      <c r="Z35" s="36"/>
      <c r="AA35" s="36"/>
      <c r="AB35" s="36"/>
      <c r="AC35" s="36"/>
      <c r="AD35" s="36"/>
    </row>
    <row r="36" spans="1:30" ht="63" x14ac:dyDescent="0.4">
      <c r="A36" s="603"/>
      <c r="B36" s="608"/>
      <c r="C36" s="56" t="str">
        <f>C35</f>
        <v>Transport</v>
      </c>
      <c r="D36" s="41" t="s">
        <v>2202</v>
      </c>
      <c r="E36" s="43"/>
      <c r="F36" s="23"/>
      <c r="G36" s="50"/>
      <c r="H36" s="43"/>
      <c r="I36" s="43"/>
      <c r="J36" s="41"/>
      <c r="K36" s="46" t="s">
        <v>2225</v>
      </c>
      <c r="L36" s="54"/>
      <c r="M36" s="36" t="s">
        <v>2226</v>
      </c>
      <c r="N36" s="36"/>
      <c r="O36" s="36"/>
      <c r="P36" s="36"/>
      <c r="Q36" s="36"/>
      <c r="R36" s="36"/>
      <c r="S36" s="36"/>
      <c r="T36" s="36"/>
      <c r="U36" s="36"/>
      <c r="V36" s="36"/>
      <c r="W36" s="36"/>
      <c r="X36" s="36"/>
      <c r="Y36" s="36"/>
      <c r="Z36" s="36"/>
      <c r="AA36" s="36"/>
      <c r="AB36" s="36"/>
      <c r="AC36" s="36"/>
      <c r="AD36" s="36"/>
    </row>
    <row r="37" spans="1:30" ht="273" x14ac:dyDescent="0.4">
      <c r="A37" s="603"/>
      <c r="B37" s="608"/>
      <c r="C37" s="56" t="s">
        <v>2201</v>
      </c>
      <c r="D37" s="41" t="s">
        <v>2227</v>
      </c>
      <c r="E37" s="43" t="s">
        <v>2228</v>
      </c>
      <c r="F37" s="52"/>
      <c r="G37" s="50" t="s">
        <v>2229</v>
      </c>
      <c r="H37" s="46" t="s">
        <v>2230</v>
      </c>
      <c r="I37" s="46" t="s">
        <v>2231</v>
      </c>
      <c r="J37" s="46" t="s">
        <v>2232</v>
      </c>
      <c r="K37" s="43" t="s">
        <v>2233</v>
      </c>
      <c r="L37" s="43" t="s">
        <v>2234</v>
      </c>
      <c r="M37" s="36" t="s">
        <v>2235</v>
      </c>
      <c r="N37" s="36" t="s">
        <v>2236</v>
      </c>
      <c r="O37" s="36"/>
      <c r="P37" s="36" t="s">
        <v>2237</v>
      </c>
      <c r="Q37" s="36"/>
      <c r="R37" s="36"/>
      <c r="S37" s="36"/>
      <c r="T37" s="36"/>
      <c r="U37" s="36"/>
      <c r="V37" s="36"/>
      <c r="W37" s="36"/>
      <c r="X37" s="36"/>
      <c r="Y37" s="36"/>
      <c r="Z37" s="36"/>
      <c r="AA37" s="36"/>
      <c r="AB37" s="36"/>
      <c r="AC37" s="36"/>
      <c r="AD37" s="36"/>
    </row>
    <row r="38" spans="1:30" ht="147" x14ac:dyDescent="0.4">
      <c r="A38" s="603"/>
      <c r="B38" s="608"/>
      <c r="C38" s="56" t="s">
        <v>2201</v>
      </c>
      <c r="D38" s="41" t="s">
        <v>2227</v>
      </c>
      <c r="E38" s="43" t="s">
        <v>2238</v>
      </c>
      <c r="F38" s="23" t="s">
        <v>2239</v>
      </c>
      <c r="G38" s="50" t="s">
        <v>2240</v>
      </c>
      <c r="H38" s="46" t="s">
        <v>2241</v>
      </c>
      <c r="I38" s="43" t="s">
        <v>2242</v>
      </c>
      <c r="J38" s="46" t="s">
        <v>2243</v>
      </c>
      <c r="K38" s="43" t="s">
        <v>2244</v>
      </c>
      <c r="L38" s="47" t="s">
        <v>2245</v>
      </c>
      <c r="M38" s="36" t="s">
        <v>2246</v>
      </c>
      <c r="N38" s="36" t="s">
        <v>2247</v>
      </c>
      <c r="O38" s="36"/>
      <c r="P38" s="36" t="s">
        <v>2248</v>
      </c>
      <c r="Q38" s="36"/>
      <c r="R38" s="36"/>
      <c r="S38" s="36"/>
      <c r="T38" s="36"/>
      <c r="U38" s="36"/>
      <c r="V38" s="36"/>
      <c r="W38" s="36"/>
      <c r="X38" s="36"/>
      <c r="Y38" s="36"/>
      <c r="Z38" s="36"/>
      <c r="AA38" s="36"/>
      <c r="AB38" s="36"/>
      <c r="AC38" s="36"/>
      <c r="AD38" s="36"/>
    </row>
    <row r="39" spans="1:30" ht="126" x14ac:dyDescent="0.4">
      <c r="A39" s="603"/>
      <c r="B39" s="608"/>
      <c r="C39" s="56" t="s">
        <v>2201</v>
      </c>
      <c r="D39" s="41" t="s">
        <v>2227</v>
      </c>
      <c r="E39" s="43" t="s">
        <v>2249</v>
      </c>
      <c r="F39" s="23" t="s">
        <v>2250</v>
      </c>
      <c r="G39" s="45" t="s">
        <v>2251</v>
      </c>
      <c r="H39" s="46" t="s">
        <v>2252</v>
      </c>
      <c r="I39" s="46" t="s">
        <v>2253</v>
      </c>
      <c r="J39" s="46" t="s">
        <v>2254</v>
      </c>
      <c r="K39" s="46" t="s">
        <v>2255</v>
      </c>
      <c r="L39" s="47" t="s">
        <v>2256</v>
      </c>
      <c r="M39" s="36"/>
      <c r="N39" s="36" t="s">
        <v>2257</v>
      </c>
      <c r="O39" s="36"/>
      <c r="P39" s="36"/>
      <c r="Q39" s="36"/>
      <c r="R39" s="36"/>
      <c r="S39" s="36"/>
      <c r="T39" s="36"/>
      <c r="U39" s="36"/>
      <c r="V39" s="36"/>
      <c r="W39" s="36"/>
      <c r="X39" s="36"/>
      <c r="Y39" s="36"/>
      <c r="Z39" s="36"/>
      <c r="AA39" s="36"/>
      <c r="AB39" s="36"/>
      <c r="AC39" s="36"/>
      <c r="AD39" s="36"/>
    </row>
    <row r="40" spans="1:30" ht="147" x14ac:dyDescent="0.4">
      <c r="A40" s="603"/>
      <c r="B40" s="608"/>
      <c r="C40" s="56" t="s">
        <v>2201</v>
      </c>
      <c r="D40" s="41" t="s">
        <v>2227</v>
      </c>
      <c r="E40" s="43" t="s">
        <v>2258</v>
      </c>
      <c r="F40" s="23" t="s">
        <v>2259</v>
      </c>
      <c r="G40" s="45" t="s">
        <v>2260</v>
      </c>
      <c r="H40" s="46" t="s">
        <v>2261</v>
      </c>
      <c r="I40" s="43" t="s">
        <v>2262</v>
      </c>
      <c r="J40" s="41" t="s">
        <v>2263</v>
      </c>
      <c r="K40" s="43" t="s">
        <v>2264</v>
      </c>
      <c r="L40" s="48" t="s">
        <v>2265</v>
      </c>
      <c r="M40" s="36"/>
      <c r="N40" s="36" t="s">
        <v>2266</v>
      </c>
      <c r="O40" s="36"/>
      <c r="P40" s="36"/>
      <c r="Q40" s="36"/>
      <c r="R40" s="36"/>
      <c r="S40" s="36"/>
      <c r="T40" s="36"/>
      <c r="U40" s="36"/>
      <c r="V40" s="36"/>
      <c r="W40" s="36"/>
      <c r="X40" s="36"/>
      <c r="Y40" s="36"/>
      <c r="Z40" s="36"/>
      <c r="AA40" s="36"/>
      <c r="AB40" s="36"/>
      <c r="AC40" s="36"/>
      <c r="AD40" s="36"/>
    </row>
    <row r="41" spans="1:30" ht="189" x14ac:dyDescent="0.4">
      <c r="A41" s="603"/>
      <c r="B41" s="608"/>
      <c r="C41" s="56" t="s">
        <v>2201</v>
      </c>
      <c r="D41" s="41" t="s">
        <v>2227</v>
      </c>
      <c r="E41" s="43"/>
      <c r="F41" s="23" t="s">
        <v>2267</v>
      </c>
      <c r="G41" s="50" t="s">
        <v>2268</v>
      </c>
      <c r="H41" s="43"/>
      <c r="I41" s="46" t="s">
        <v>2269</v>
      </c>
      <c r="J41" s="46" t="s">
        <v>2270</v>
      </c>
      <c r="K41" s="46" t="s">
        <v>2271</v>
      </c>
      <c r="L41" s="47" t="s">
        <v>2272</v>
      </c>
      <c r="M41" s="36"/>
      <c r="N41" s="36" t="s">
        <v>2273</v>
      </c>
      <c r="O41" s="36"/>
      <c r="P41" s="36"/>
      <c r="Q41" s="36"/>
      <c r="R41" s="36"/>
      <c r="S41" s="36"/>
      <c r="T41" s="36"/>
      <c r="U41" s="36"/>
      <c r="V41" s="36"/>
      <c r="W41" s="36"/>
      <c r="X41" s="36"/>
      <c r="Y41" s="36"/>
      <c r="Z41" s="36"/>
      <c r="AA41" s="36"/>
      <c r="AB41" s="36"/>
      <c r="AC41" s="36"/>
      <c r="AD41" s="36"/>
    </row>
    <row r="42" spans="1:30" ht="84" x14ac:dyDescent="0.4">
      <c r="A42" s="603"/>
      <c r="B42" s="608"/>
      <c r="C42" s="56" t="s">
        <v>2201</v>
      </c>
      <c r="D42" s="41" t="s">
        <v>2227</v>
      </c>
      <c r="E42" s="51"/>
      <c r="F42" s="52" t="s">
        <v>2274</v>
      </c>
      <c r="G42" s="45" t="s">
        <v>2275</v>
      </c>
      <c r="H42" s="43"/>
      <c r="I42" s="43"/>
      <c r="J42" s="43" t="s">
        <v>2276</v>
      </c>
      <c r="K42" s="46" t="s">
        <v>2277</v>
      </c>
      <c r="L42" s="48" t="s">
        <v>2278</v>
      </c>
      <c r="M42" s="36"/>
      <c r="N42" s="36" t="s">
        <v>2279</v>
      </c>
      <c r="O42" s="36"/>
      <c r="P42" s="36"/>
      <c r="Q42" s="36"/>
      <c r="R42" s="36"/>
      <c r="S42" s="36"/>
      <c r="T42" s="36"/>
      <c r="U42" s="36"/>
      <c r="V42" s="36"/>
      <c r="W42" s="36"/>
      <c r="X42" s="36"/>
      <c r="Y42" s="36"/>
      <c r="Z42" s="36"/>
      <c r="AA42" s="36"/>
      <c r="AB42" s="36"/>
      <c r="AC42" s="36"/>
      <c r="AD42" s="36"/>
    </row>
    <row r="43" spans="1:30" ht="84" x14ac:dyDescent="0.4">
      <c r="A43" s="603"/>
      <c r="B43" s="608"/>
      <c r="C43" s="56" t="s">
        <v>2201</v>
      </c>
      <c r="D43" s="41" t="s">
        <v>2227</v>
      </c>
      <c r="E43" s="51"/>
      <c r="F43" s="52" t="s">
        <v>2280</v>
      </c>
      <c r="G43" s="45" t="s">
        <v>2281</v>
      </c>
      <c r="H43" s="43"/>
      <c r="I43" s="43"/>
      <c r="J43" s="46" t="s">
        <v>2282</v>
      </c>
      <c r="K43" s="46" t="s">
        <v>2283</v>
      </c>
      <c r="L43" s="48" t="s">
        <v>2284</v>
      </c>
      <c r="M43" s="36"/>
      <c r="N43" s="36" t="s">
        <v>2285</v>
      </c>
      <c r="O43" s="36"/>
      <c r="P43" s="36"/>
      <c r="Q43" s="36"/>
      <c r="R43" s="36"/>
      <c r="S43" s="36"/>
      <c r="T43" s="36"/>
      <c r="U43" s="36"/>
      <c r="V43" s="36"/>
      <c r="W43" s="36"/>
      <c r="X43" s="36"/>
      <c r="Y43" s="36"/>
      <c r="Z43" s="36"/>
      <c r="AA43" s="36"/>
      <c r="AB43" s="36"/>
      <c r="AC43" s="36"/>
      <c r="AD43" s="36"/>
    </row>
    <row r="44" spans="1:30" ht="63" x14ac:dyDescent="0.4">
      <c r="A44" s="603"/>
      <c r="B44" s="608"/>
      <c r="C44" s="56" t="s">
        <v>2201</v>
      </c>
      <c r="D44" s="41" t="s">
        <v>2227</v>
      </c>
      <c r="E44" s="51"/>
      <c r="F44" s="52" t="s">
        <v>2286</v>
      </c>
      <c r="G44" s="50" t="s">
        <v>2287</v>
      </c>
      <c r="H44" s="43"/>
      <c r="I44" s="43"/>
      <c r="J44" s="41" t="s">
        <v>2288</v>
      </c>
      <c r="K44" s="46" t="s">
        <v>2289</v>
      </c>
      <c r="L44" s="47" t="s">
        <v>2290</v>
      </c>
      <c r="M44" s="36"/>
      <c r="N44" s="36"/>
      <c r="O44" s="36"/>
      <c r="P44" s="36"/>
      <c r="Q44" s="36"/>
      <c r="R44" s="36"/>
      <c r="S44" s="36"/>
      <c r="T44" s="36"/>
      <c r="U44" s="36"/>
      <c r="V44" s="36"/>
      <c r="W44" s="36"/>
      <c r="X44" s="36"/>
      <c r="Y44" s="36"/>
      <c r="Z44" s="36"/>
      <c r="AA44" s="36"/>
      <c r="AB44" s="36"/>
      <c r="AC44" s="36"/>
      <c r="AD44" s="36"/>
    </row>
    <row r="45" spans="1:30" ht="84" x14ac:dyDescent="0.4">
      <c r="A45" s="603"/>
      <c r="B45" s="608"/>
      <c r="C45" s="56" t="s">
        <v>2201</v>
      </c>
      <c r="D45" s="41" t="s">
        <v>2227</v>
      </c>
      <c r="E45" s="43"/>
      <c r="F45" s="52"/>
      <c r="G45" s="45" t="s">
        <v>2291</v>
      </c>
      <c r="H45" s="43"/>
      <c r="I45" s="43"/>
      <c r="J45" s="43" t="s">
        <v>2292</v>
      </c>
      <c r="K45" s="46" t="s">
        <v>2293</v>
      </c>
      <c r="L45" s="47" t="s">
        <v>2294</v>
      </c>
      <c r="M45" s="36"/>
      <c r="N45" s="36"/>
      <c r="O45" s="36"/>
      <c r="P45" s="36"/>
      <c r="Q45" s="36"/>
      <c r="R45" s="36"/>
      <c r="S45" s="36"/>
      <c r="T45" s="36"/>
      <c r="U45" s="36"/>
      <c r="V45" s="36"/>
      <c r="W45" s="36"/>
      <c r="X45" s="36"/>
      <c r="Y45" s="36"/>
      <c r="Z45" s="36"/>
      <c r="AA45" s="36"/>
      <c r="AB45" s="36"/>
      <c r="AC45" s="36"/>
      <c r="AD45" s="36"/>
    </row>
    <row r="46" spans="1:30" ht="105" x14ac:dyDescent="0.4">
      <c r="A46" s="603"/>
      <c r="B46" s="608"/>
      <c r="C46" s="56" t="s">
        <v>2201</v>
      </c>
      <c r="D46" s="41" t="s">
        <v>2227</v>
      </c>
      <c r="E46" s="43"/>
      <c r="F46" s="52"/>
      <c r="G46" s="59" t="s">
        <v>2295</v>
      </c>
      <c r="H46" s="43"/>
      <c r="I46" s="43"/>
      <c r="J46" s="46" t="s">
        <v>2296</v>
      </c>
      <c r="K46" s="46" t="s">
        <v>2297</v>
      </c>
      <c r="L46" s="47" t="s">
        <v>2298</v>
      </c>
      <c r="M46" s="36"/>
      <c r="N46" s="36"/>
      <c r="O46" s="36"/>
      <c r="P46" s="36"/>
      <c r="Q46" s="36"/>
      <c r="R46" s="36"/>
      <c r="S46" s="36"/>
      <c r="T46" s="36"/>
      <c r="U46" s="36"/>
      <c r="V46" s="36"/>
      <c r="W46" s="36"/>
      <c r="X46" s="36"/>
      <c r="Y46" s="36"/>
      <c r="Z46" s="36"/>
      <c r="AA46" s="36"/>
      <c r="AB46" s="36"/>
      <c r="AC46" s="36"/>
      <c r="AD46" s="36"/>
    </row>
    <row r="47" spans="1:30" ht="49.35" customHeight="1" x14ac:dyDescent="0.4">
      <c r="A47" s="603"/>
      <c r="B47" s="608"/>
      <c r="C47" s="56" t="s">
        <v>2201</v>
      </c>
      <c r="D47" s="41" t="s">
        <v>2227</v>
      </c>
      <c r="E47" s="43"/>
      <c r="F47" s="52"/>
      <c r="G47" s="59" t="s">
        <v>2299</v>
      </c>
      <c r="H47" s="43"/>
      <c r="I47" s="43"/>
      <c r="J47" s="46" t="s">
        <v>2300</v>
      </c>
      <c r="K47" s="51"/>
      <c r="L47" s="47" t="s">
        <v>2301</v>
      </c>
      <c r="M47" s="36"/>
      <c r="N47" s="36"/>
      <c r="O47" s="36"/>
      <c r="P47" s="36"/>
      <c r="Q47" s="36"/>
      <c r="R47" s="36"/>
      <c r="S47" s="36"/>
      <c r="T47" s="36"/>
      <c r="U47" s="36"/>
      <c r="V47" s="36"/>
      <c r="W47" s="36"/>
      <c r="X47" s="36"/>
      <c r="Y47" s="36"/>
      <c r="Z47" s="36"/>
      <c r="AA47" s="36"/>
      <c r="AB47" s="36"/>
      <c r="AC47" s="36"/>
      <c r="AD47" s="36"/>
    </row>
    <row r="48" spans="1:30" ht="42" x14ac:dyDescent="0.4">
      <c r="A48" s="603"/>
      <c r="B48" s="608"/>
      <c r="C48" s="56" t="s">
        <v>2201</v>
      </c>
      <c r="D48" s="41" t="s">
        <v>2227</v>
      </c>
      <c r="E48" s="43"/>
      <c r="F48" s="52"/>
      <c r="G48" s="55" t="s">
        <v>2302</v>
      </c>
      <c r="H48" s="43"/>
      <c r="I48" s="43"/>
      <c r="J48" s="49" t="s">
        <v>2303</v>
      </c>
      <c r="K48" s="51"/>
      <c r="L48" s="60" t="s">
        <v>1550</v>
      </c>
      <c r="M48" s="36"/>
      <c r="N48" s="36"/>
      <c r="O48" s="36"/>
      <c r="P48" s="36"/>
      <c r="Q48" s="36"/>
      <c r="R48" s="36"/>
      <c r="S48" s="36"/>
      <c r="T48" s="36"/>
      <c r="U48" s="36"/>
      <c r="V48" s="36"/>
      <c r="W48" s="36"/>
      <c r="X48" s="36"/>
      <c r="Y48" s="36"/>
      <c r="Z48" s="36"/>
      <c r="AA48" s="36"/>
      <c r="AB48" s="36"/>
      <c r="AC48" s="36"/>
      <c r="AD48" s="36"/>
    </row>
    <row r="49" spans="1:30" ht="42" x14ac:dyDescent="0.4">
      <c r="A49" s="603"/>
      <c r="B49" s="608"/>
      <c r="C49" s="56" t="s">
        <v>2201</v>
      </c>
      <c r="D49" s="41" t="s">
        <v>2227</v>
      </c>
      <c r="E49" s="43"/>
      <c r="F49" s="52"/>
      <c r="G49" s="61"/>
      <c r="H49" s="43"/>
      <c r="I49" s="43"/>
      <c r="J49" s="59" t="s">
        <v>2304</v>
      </c>
      <c r="K49" s="43"/>
      <c r="L49" s="60" t="s">
        <v>2305</v>
      </c>
      <c r="M49" s="36"/>
      <c r="N49" s="36"/>
      <c r="O49" s="36"/>
      <c r="P49" s="36"/>
      <c r="Q49" s="36"/>
      <c r="R49" s="36"/>
      <c r="S49" s="36"/>
      <c r="T49" s="36"/>
      <c r="U49" s="36"/>
      <c r="V49" s="36"/>
      <c r="W49" s="36"/>
      <c r="X49" s="36"/>
      <c r="Y49" s="36"/>
      <c r="Z49" s="36"/>
      <c r="AA49" s="36"/>
      <c r="AB49" s="36"/>
      <c r="AC49" s="36"/>
      <c r="AD49" s="36"/>
    </row>
    <row r="50" spans="1:30" ht="63" x14ac:dyDescent="0.4">
      <c r="A50" s="603"/>
      <c r="B50" s="608"/>
      <c r="C50" s="56" t="s">
        <v>2201</v>
      </c>
      <c r="D50" s="41" t="s">
        <v>2227</v>
      </c>
      <c r="E50" s="43"/>
      <c r="F50" s="52"/>
      <c r="G50" s="61"/>
      <c r="H50" s="43"/>
      <c r="I50" s="43"/>
      <c r="J50" s="59" t="s">
        <v>2306</v>
      </c>
      <c r="K50" s="43"/>
      <c r="L50" s="60" t="s">
        <v>2307</v>
      </c>
      <c r="M50" s="36"/>
      <c r="N50" s="36"/>
      <c r="O50" s="36"/>
      <c r="P50" s="36"/>
      <c r="Q50" s="36"/>
      <c r="R50" s="36"/>
      <c r="S50" s="36"/>
      <c r="T50" s="36"/>
      <c r="U50" s="36"/>
      <c r="V50" s="36"/>
      <c r="W50" s="36"/>
      <c r="X50" s="36"/>
      <c r="Y50" s="36"/>
      <c r="Z50" s="36"/>
      <c r="AA50" s="36"/>
      <c r="AB50" s="36"/>
      <c r="AC50" s="36"/>
      <c r="AD50" s="36"/>
    </row>
    <row r="51" spans="1:30" ht="63" x14ac:dyDescent="0.4">
      <c r="A51" s="603"/>
      <c r="B51" s="608"/>
      <c r="C51" s="56" t="s">
        <v>2201</v>
      </c>
      <c r="D51" s="41" t="s">
        <v>2227</v>
      </c>
      <c r="E51" s="43"/>
      <c r="F51" s="52"/>
      <c r="G51" s="61"/>
      <c r="H51" s="43"/>
      <c r="I51" s="43"/>
      <c r="J51" s="46" t="s">
        <v>2308</v>
      </c>
      <c r="K51" s="43"/>
      <c r="L51" s="60" t="s">
        <v>2309</v>
      </c>
      <c r="M51" s="36"/>
      <c r="N51" s="36"/>
      <c r="O51" s="36"/>
      <c r="P51" s="36"/>
      <c r="Q51" s="36"/>
      <c r="R51" s="36"/>
      <c r="S51" s="36"/>
      <c r="T51" s="36"/>
      <c r="U51" s="36"/>
      <c r="V51" s="36"/>
      <c r="W51" s="36"/>
      <c r="X51" s="36"/>
      <c r="Y51" s="36"/>
      <c r="Z51" s="36"/>
      <c r="AA51" s="36"/>
      <c r="AB51" s="36"/>
      <c r="AC51" s="36"/>
      <c r="AD51" s="36"/>
    </row>
    <row r="52" spans="1:30" ht="84" x14ac:dyDescent="0.4">
      <c r="A52" s="603"/>
      <c r="B52" s="608"/>
      <c r="C52" s="56" t="s">
        <v>2201</v>
      </c>
      <c r="D52" s="41" t="s">
        <v>2227</v>
      </c>
      <c r="E52" s="43"/>
      <c r="F52" s="52"/>
      <c r="G52" s="61"/>
      <c r="H52" s="43"/>
      <c r="I52" s="43"/>
      <c r="J52" s="62" t="s">
        <v>2310</v>
      </c>
      <c r="K52" s="43"/>
      <c r="L52" s="60" t="s">
        <v>2311</v>
      </c>
      <c r="M52" s="36"/>
      <c r="N52" s="36"/>
      <c r="O52" s="36"/>
      <c r="P52" s="36"/>
      <c r="Q52" s="36"/>
      <c r="R52" s="36"/>
      <c r="S52" s="36"/>
      <c r="T52" s="36"/>
      <c r="U52" s="36"/>
      <c r="V52" s="36"/>
      <c r="W52" s="36"/>
      <c r="X52" s="36"/>
      <c r="Y52" s="36"/>
      <c r="Z52" s="36"/>
      <c r="AA52" s="36"/>
      <c r="AB52" s="36"/>
      <c r="AC52" s="36"/>
      <c r="AD52" s="36"/>
    </row>
    <row r="53" spans="1:30" ht="42" x14ac:dyDescent="0.4">
      <c r="A53" s="603"/>
      <c r="B53" s="608"/>
      <c r="C53" s="56" t="s">
        <v>2201</v>
      </c>
      <c r="D53" s="41" t="s">
        <v>2227</v>
      </c>
      <c r="E53" s="43"/>
      <c r="F53" s="52"/>
      <c r="G53" s="41"/>
      <c r="H53" s="43"/>
      <c r="I53" s="43"/>
      <c r="J53" s="62" t="s">
        <v>2312</v>
      </c>
      <c r="K53" s="43"/>
      <c r="L53" s="60" t="s">
        <v>1553</v>
      </c>
      <c r="M53" s="36"/>
      <c r="N53" s="36"/>
      <c r="O53" s="36"/>
      <c r="P53" s="36"/>
      <c r="Q53" s="36"/>
      <c r="R53" s="36"/>
      <c r="S53" s="36"/>
      <c r="T53" s="36"/>
      <c r="U53" s="36"/>
      <c r="V53" s="36"/>
      <c r="W53" s="36"/>
      <c r="X53" s="36"/>
      <c r="Y53" s="36"/>
      <c r="Z53" s="36"/>
      <c r="AA53" s="36"/>
      <c r="AB53" s="36"/>
      <c r="AC53" s="36"/>
      <c r="AD53" s="36"/>
    </row>
    <row r="54" spans="1:30" ht="42" x14ac:dyDescent="0.4">
      <c r="A54" s="603"/>
      <c r="B54" s="608"/>
      <c r="C54" s="56" t="s">
        <v>2201</v>
      </c>
      <c r="D54" s="41" t="s">
        <v>2227</v>
      </c>
      <c r="E54" s="43"/>
      <c r="F54" s="52"/>
      <c r="G54" s="61"/>
      <c r="H54" s="43"/>
      <c r="I54" s="43"/>
      <c r="J54" s="51"/>
      <c r="K54" s="43"/>
      <c r="L54" s="60" t="s">
        <v>2313</v>
      </c>
      <c r="M54" s="36"/>
      <c r="N54" s="36"/>
      <c r="O54" s="36"/>
      <c r="P54" s="36"/>
      <c r="Q54" s="36"/>
      <c r="R54" s="36"/>
      <c r="S54" s="36"/>
      <c r="T54" s="36"/>
      <c r="U54" s="36"/>
      <c r="V54" s="36"/>
      <c r="W54" s="36"/>
      <c r="X54" s="36"/>
      <c r="Y54" s="36"/>
      <c r="Z54" s="36"/>
      <c r="AA54" s="36"/>
      <c r="AB54" s="36"/>
      <c r="AC54" s="36"/>
      <c r="AD54" s="36"/>
    </row>
    <row r="55" spans="1:30" ht="63" x14ac:dyDescent="0.4">
      <c r="A55" s="603"/>
      <c r="B55" s="608"/>
      <c r="C55" s="56" t="s">
        <v>2201</v>
      </c>
      <c r="D55" s="41" t="s">
        <v>2227</v>
      </c>
      <c r="E55" s="43"/>
      <c r="F55" s="52"/>
      <c r="G55" s="61"/>
      <c r="H55" s="43"/>
      <c r="I55" s="43"/>
      <c r="J55" s="51"/>
      <c r="K55" s="43"/>
      <c r="L55" s="60" t="s">
        <v>2314</v>
      </c>
      <c r="M55" s="36"/>
      <c r="N55" s="36"/>
      <c r="O55" s="36"/>
      <c r="P55" s="36"/>
      <c r="Q55" s="36"/>
      <c r="R55" s="36"/>
      <c r="S55" s="36"/>
      <c r="T55" s="36"/>
      <c r="U55" s="36"/>
      <c r="V55" s="36"/>
      <c r="W55" s="36"/>
      <c r="X55" s="36"/>
      <c r="Y55" s="36"/>
      <c r="Z55" s="36"/>
      <c r="AA55" s="36"/>
      <c r="AB55" s="36"/>
      <c r="AC55" s="36"/>
      <c r="AD55" s="36"/>
    </row>
    <row r="56" spans="1:30" ht="63" x14ac:dyDescent="0.4">
      <c r="A56" s="603"/>
      <c r="B56" s="608"/>
      <c r="C56" s="56" t="s">
        <v>2201</v>
      </c>
      <c r="D56" s="41" t="s">
        <v>2227</v>
      </c>
      <c r="E56" s="43"/>
      <c r="F56" s="52"/>
      <c r="G56" s="61"/>
      <c r="H56" s="43"/>
      <c r="I56" s="43"/>
      <c r="J56" s="51"/>
      <c r="K56" s="43"/>
      <c r="L56" s="60" t="s">
        <v>2315</v>
      </c>
      <c r="M56" s="36"/>
      <c r="N56" s="36"/>
      <c r="O56" s="36"/>
      <c r="P56" s="36"/>
      <c r="Q56" s="36"/>
      <c r="R56" s="36"/>
      <c r="S56" s="36"/>
      <c r="T56" s="36"/>
      <c r="U56" s="36"/>
      <c r="V56" s="36"/>
      <c r="W56" s="36"/>
      <c r="X56" s="36"/>
      <c r="Y56" s="36"/>
      <c r="Z56" s="36"/>
      <c r="AA56" s="36"/>
      <c r="AB56" s="36"/>
      <c r="AC56" s="36"/>
      <c r="AD56" s="36"/>
    </row>
    <row r="57" spans="1:30" ht="42" x14ac:dyDescent="0.4">
      <c r="A57" s="603"/>
      <c r="B57" s="608"/>
      <c r="C57" s="56" t="s">
        <v>2201</v>
      </c>
      <c r="D57" s="41" t="s">
        <v>2227</v>
      </c>
      <c r="E57" s="43"/>
      <c r="F57" s="52"/>
      <c r="G57" s="61"/>
      <c r="H57" s="43"/>
      <c r="I57" s="43"/>
      <c r="J57" s="51"/>
      <c r="K57" s="43"/>
      <c r="L57" s="60" t="s">
        <v>2316</v>
      </c>
      <c r="M57" s="36"/>
      <c r="N57" s="36"/>
      <c r="O57" s="36"/>
      <c r="P57" s="36"/>
      <c r="Q57" s="36"/>
      <c r="R57" s="36"/>
      <c r="S57" s="36"/>
      <c r="T57" s="36"/>
      <c r="U57" s="36"/>
      <c r="V57" s="36"/>
      <c r="W57" s="36"/>
      <c r="X57" s="36"/>
      <c r="Y57" s="36"/>
      <c r="Z57" s="36"/>
      <c r="AA57" s="36"/>
      <c r="AB57" s="36"/>
      <c r="AC57" s="36"/>
      <c r="AD57" s="36"/>
    </row>
    <row r="58" spans="1:30" ht="42" x14ac:dyDescent="0.4">
      <c r="A58" s="603"/>
      <c r="B58" s="608"/>
      <c r="C58" s="56" t="s">
        <v>2201</v>
      </c>
      <c r="D58" s="41" t="s">
        <v>2227</v>
      </c>
      <c r="E58" s="43"/>
      <c r="F58" s="52"/>
      <c r="G58" s="61"/>
      <c r="H58" s="43"/>
      <c r="I58" s="43"/>
      <c r="J58" s="51"/>
      <c r="K58" s="43"/>
      <c r="L58" s="60" t="s">
        <v>2317</v>
      </c>
      <c r="M58" s="36"/>
      <c r="N58" s="36"/>
      <c r="O58" s="36"/>
      <c r="P58" s="36"/>
      <c r="Q58" s="36"/>
      <c r="R58" s="36"/>
      <c r="S58" s="36"/>
      <c r="T58" s="36"/>
      <c r="U58" s="36"/>
      <c r="V58" s="36"/>
      <c r="W58" s="36"/>
      <c r="X58" s="36"/>
      <c r="Y58" s="36"/>
      <c r="Z58" s="36"/>
      <c r="AA58" s="36"/>
      <c r="AB58" s="36"/>
      <c r="AC58" s="36"/>
      <c r="AD58" s="36"/>
    </row>
    <row r="59" spans="1:30" ht="42" x14ac:dyDescent="0.4">
      <c r="A59" s="603"/>
      <c r="B59" s="608"/>
      <c r="C59" s="56" t="s">
        <v>2201</v>
      </c>
      <c r="D59" s="41" t="s">
        <v>2227</v>
      </c>
      <c r="E59" s="43"/>
      <c r="F59" s="52"/>
      <c r="G59" s="61"/>
      <c r="H59" s="43"/>
      <c r="I59" s="43"/>
      <c r="J59" s="51"/>
      <c r="K59" s="43"/>
      <c r="L59" s="60" t="s">
        <v>2318</v>
      </c>
      <c r="M59" s="36"/>
      <c r="N59" s="36"/>
      <c r="O59" s="36"/>
      <c r="P59" s="36"/>
      <c r="Q59" s="36"/>
      <c r="R59" s="36"/>
      <c r="S59" s="36"/>
      <c r="T59" s="36"/>
      <c r="U59" s="36"/>
      <c r="V59" s="36"/>
      <c r="W59" s="36"/>
      <c r="X59" s="36"/>
      <c r="Y59" s="36"/>
      <c r="Z59" s="36"/>
      <c r="AA59" s="36"/>
      <c r="AB59" s="36"/>
      <c r="AC59" s="36"/>
      <c r="AD59" s="36"/>
    </row>
    <row r="60" spans="1:30" ht="63" x14ac:dyDescent="0.4">
      <c r="A60" s="603"/>
      <c r="B60" s="608"/>
      <c r="C60" s="56" t="s">
        <v>2201</v>
      </c>
      <c r="D60" s="41" t="s">
        <v>2227</v>
      </c>
      <c r="E60" s="43"/>
      <c r="F60" s="52"/>
      <c r="G60" s="61"/>
      <c r="H60" s="43"/>
      <c r="I60" s="43"/>
      <c r="J60" s="51"/>
      <c r="K60" s="43"/>
      <c r="L60" s="60" t="s">
        <v>2319</v>
      </c>
      <c r="M60" s="36"/>
      <c r="N60" s="36"/>
      <c r="O60" s="36"/>
      <c r="P60" s="36"/>
      <c r="Q60" s="36"/>
      <c r="R60" s="36"/>
      <c r="S60" s="36"/>
      <c r="T60" s="36"/>
      <c r="U60" s="36"/>
      <c r="V60" s="36"/>
      <c r="W60" s="36"/>
      <c r="X60" s="36"/>
      <c r="Y60" s="36"/>
      <c r="Z60" s="36"/>
      <c r="AA60" s="36"/>
      <c r="AB60" s="36"/>
      <c r="AC60" s="36"/>
      <c r="AD60" s="36"/>
    </row>
    <row r="61" spans="1:30" ht="42" x14ac:dyDescent="0.4">
      <c r="A61" s="603"/>
      <c r="B61" s="608"/>
      <c r="C61" s="56" t="s">
        <v>2201</v>
      </c>
      <c r="D61" s="41" t="s">
        <v>2227</v>
      </c>
      <c r="E61" s="43"/>
      <c r="F61" s="52"/>
      <c r="G61" s="61"/>
      <c r="H61" s="43"/>
      <c r="I61" s="43"/>
      <c r="J61" s="51"/>
      <c r="K61" s="43"/>
      <c r="L61" s="60" t="s">
        <v>2320</v>
      </c>
      <c r="M61" s="36"/>
      <c r="N61" s="36"/>
      <c r="O61" s="36"/>
      <c r="P61" s="36"/>
      <c r="Q61" s="36"/>
      <c r="R61" s="36"/>
      <c r="S61" s="36"/>
      <c r="T61" s="36"/>
      <c r="U61" s="36"/>
      <c r="V61" s="36"/>
      <c r="W61" s="36"/>
      <c r="X61" s="36"/>
      <c r="Y61" s="36"/>
      <c r="Z61" s="36"/>
      <c r="AA61" s="36"/>
      <c r="AB61" s="36"/>
      <c r="AC61" s="36"/>
      <c r="AD61" s="36"/>
    </row>
    <row r="62" spans="1:30" ht="42" x14ac:dyDescent="0.4">
      <c r="A62" s="603"/>
      <c r="B62" s="608"/>
      <c r="C62" s="56" t="s">
        <v>2201</v>
      </c>
      <c r="D62" s="41" t="s">
        <v>2227</v>
      </c>
      <c r="E62" s="43"/>
      <c r="F62" s="52"/>
      <c r="G62" s="61"/>
      <c r="H62" s="43"/>
      <c r="I62" s="43"/>
      <c r="J62" s="51"/>
      <c r="K62" s="43"/>
      <c r="L62" s="60" t="s">
        <v>2321</v>
      </c>
      <c r="M62" s="36"/>
      <c r="N62" s="36"/>
      <c r="O62" s="36"/>
      <c r="P62" s="36"/>
      <c r="Q62" s="36"/>
      <c r="R62" s="36"/>
      <c r="S62" s="36"/>
      <c r="T62" s="36"/>
      <c r="U62" s="36"/>
      <c r="V62" s="36"/>
      <c r="W62" s="36"/>
      <c r="X62" s="36"/>
      <c r="Y62" s="36"/>
      <c r="Z62" s="36"/>
      <c r="AA62" s="36"/>
      <c r="AB62" s="36"/>
      <c r="AC62" s="36"/>
      <c r="AD62" s="36"/>
    </row>
    <row r="63" spans="1:30" ht="42" x14ac:dyDescent="0.4">
      <c r="A63" s="603"/>
      <c r="B63" s="608"/>
      <c r="C63" s="56" t="s">
        <v>2201</v>
      </c>
      <c r="D63" s="41" t="s">
        <v>2227</v>
      </c>
      <c r="E63" s="43"/>
      <c r="F63" s="52"/>
      <c r="G63" s="61"/>
      <c r="H63" s="43"/>
      <c r="I63" s="43"/>
      <c r="J63" s="51"/>
      <c r="K63" s="43"/>
      <c r="L63" s="60" t="s">
        <v>2322</v>
      </c>
      <c r="M63" s="36"/>
      <c r="N63" s="36"/>
      <c r="O63" s="36"/>
      <c r="P63" s="36"/>
      <c r="Q63" s="36"/>
      <c r="R63" s="36"/>
      <c r="S63" s="36"/>
      <c r="T63" s="36"/>
      <c r="U63" s="36"/>
      <c r="V63" s="36"/>
      <c r="W63" s="36"/>
      <c r="X63" s="36"/>
      <c r="Y63" s="36"/>
      <c r="Z63" s="36"/>
      <c r="AA63" s="36"/>
      <c r="AB63" s="36"/>
      <c r="AC63" s="36"/>
      <c r="AD63" s="36"/>
    </row>
    <row r="64" spans="1:30" ht="42" x14ac:dyDescent="0.4">
      <c r="A64" s="603"/>
      <c r="B64" s="608"/>
      <c r="C64" s="56" t="s">
        <v>2201</v>
      </c>
      <c r="D64" s="41" t="s">
        <v>2227</v>
      </c>
      <c r="E64" s="43"/>
      <c r="F64" s="52"/>
      <c r="G64" s="61"/>
      <c r="H64" s="43"/>
      <c r="I64" s="43"/>
      <c r="J64" s="51"/>
      <c r="K64" s="43"/>
      <c r="L64" s="60" t="s">
        <v>2323</v>
      </c>
      <c r="M64" s="36"/>
      <c r="N64" s="36"/>
      <c r="O64" s="36"/>
      <c r="P64" s="36"/>
      <c r="Q64" s="36"/>
      <c r="R64" s="36"/>
      <c r="S64" s="36"/>
      <c r="T64" s="36"/>
      <c r="U64" s="36"/>
      <c r="V64" s="36"/>
      <c r="W64" s="36"/>
      <c r="X64" s="36"/>
      <c r="Y64" s="36"/>
      <c r="Z64" s="36"/>
      <c r="AA64" s="36"/>
      <c r="AB64" s="36"/>
      <c r="AC64" s="36"/>
      <c r="AD64" s="36"/>
    </row>
    <row r="65" spans="1:30" ht="42" x14ac:dyDescent="0.4">
      <c r="A65" s="603"/>
      <c r="B65" s="608"/>
      <c r="C65" s="56" t="s">
        <v>2201</v>
      </c>
      <c r="D65" s="41" t="s">
        <v>2227</v>
      </c>
      <c r="E65" s="43"/>
      <c r="F65" s="52"/>
      <c r="G65" s="61"/>
      <c r="H65" s="43"/>
      <c r="I65" s="43"/>
      <c r="J65" s="51"/>
      <c r="K65" s="43"/>
      <c r="L65" s="60" t="s">
        <v>2324</v>
      </c>
      <c r="M65" s="36"/>
      <c r="N65" s="36"/>
      <c r="O65" s="36"/>
      <c r="P65" s="36"/>
      <c r="Q65" s="36"/>
      <c r="R65" s="36"/>
      <c r="S65" s="36"/>
      <c r="T65" s="36"/>
      <c r="U65" s="36"/>
      <c r="V65" s="36"/>
      <c r="W65" s="36"/>
      <c r="X65" s="36"/>
      <c r="Y65" s="36"/>
      <c r="Z65" s="36"/>
      <c r="AA65" s="36"/>
      <c r="AB65" s="36"/>
      <c r="AC65" s="36"/>
      <c r="AD65" s="36"/>
    </row>
    <row r="66" spans="1:30" ht="42" x14ac:dyDescent="0.4">
      <c r="A66" s="603"/>
      <c r="B66" s="608"/>
      <c r="C66" s="56" t="s">
        <v>2201</v>
      </c>
      <c r="D66" s="41" t="s">
        <v>2227</v>
      </c>
      <c r="E66" s="43"/>
      <c r="F66" s="52"/>
      <c r="G66" s="61"/>
      <c r="H66" s="43"/>
      <c r="I66" s="43"/>
      <c r="J66" s="51"/>
      <c r="K66" s="43"/>
      <c r="L66" s="60" t="s">
        <v>2325</v>
      </c>
      <c r="M66" s="36"/>
      <c r="N66" s="36"/>
      <c r="O66" s="36"/>
      <c r="P66" s="36"/>
      <c r="Q66" s="36"/>
      <c r="R66" s="36"/>
      <c r="S66" s="36"/>
      <c r="T66" s="36"/>
      <c r="U66" s="36"/>
      <c r="V66" s="36"/>
      <c r="W66" s="36"/>
      <c r="X66" s="36"/>
      <c r="Y66" s="36"/>
      <c r="Z66" s="36"/>
      <c r="AA66" s="36"/>
      <c r="AB66" s="36"/>
      <c r="AC66" s="36"/>
      <c r="AD66" s="36"/>
    </row>
    <row r="67" spans="1:30" ht="63" x14ac:dyDescent="0.4">
      <c r="A67" s="603"/>
      <c r="B67" s="608"/>
      <c r="C67" s="56" t="s">
        <v>2201</v>
      </c>
      <c r="D67" s="41" t="s">
        <v>2227</v>
      </c>
      <c r="E67" s="43"/>
      <c r="F67" s="52"/>
      <c r="G67" s="61"/>
      <c r="H67" s="43"/>
      <c r="I67" s="43"/>
      <c r="J67" s="51"/>
      <c r="K67" s="43"/>
      <c r="L67" s="60" t="s">
        <v>2326</v>
      </c>
      <c r="M67" s="36"/>
      <c r="N67" s="36"/>
      <c r="O67" s="36"/>
      <c r="P67" s="36"/>
      <c r="Q67" s="36"/>
      <c r="R67" s="36"/>
      <c r="S67" s="36"/>
      <c r="T67" s="36"/>
      <c r="U67" s="36"/>
      <c r="V67" s="36"/>
      <c r="W67" s="36"/>
      <c r="X67" s="36"/>
      <c r="Y67" s="36"/>
      <c r="Z67" s="36"/>
      <c r="AA67" s="36"/>
      <c r="AB67" s="36"/>
      <c r="AC67" s="36"/>
      <c r="AD67" s="36"/>
    </row>
    <row r="68" spans="1:30" ht="42" x14ac:dyDescent="0.4">
      <c r="A68" s="603"/>
      <c r="B68" s="608"/>
      <c r="C68" s="56" t="s">
        <v>2201</v>
      </c>
      <c r="D68" s="41" t="s">
        <v>2227</v>
      </c>
      <c r="E68" s="43"/>
      <c r="F68" s="52"/>
      <c r="G68" s="61"/>
      <c r="H68" s="43"/>
      <c r="I68" s="43"/>
      <c r="J68" s="51"/>
      <c r="K68" s="43"/>
      <c r="L68" s="60" t="s">
        <v>2327</v>
      </c>
      <c r="M68" s="36"/>
      <c r="N68" s="36"/>
      <c r="O68" s="36"/>
      <c r="P68" s="36"/>
      <c r="Q68" s="36"/>
      <c r="R68" s="36"/>
      <c r="S68" s="36"/>
      <c r="T68" s="36"/>
      <c r="U68" s="36"/>
      <c r="V68" s="36"/>
      <c r="W68" s="36"/>
      <c r="X68" s="36"/>
      <c r="Y68" s="36"/>
      <c r="Z68" s="36"/>
      <c r="AA68" s="36"/>
      <c r="AB68" s="36"/>
      <c r="AC68" s="36"/>
      <c r="AD68" s="36"/>
    </row>
    <row r="69" spans="1:30" ht="63" x14ac:dyDescent="0.4">
      <c r="A69" s="603"/>
      <c r="B69" s="608"/>
      <c r="C69" s="56" t="s">
        <v>2201</v>
      </c>
      <c r="D69" s="41" t="s">
        <v>2328</v>
      </c>
      <c r="E69" s="43"/>
      <c r="F69" s="52"/>
      <c r="G69" s="51"/>
      <c r="H69" s="43"/>
      <c r="I69" s="43"/>
      <c r="J69" s="43"/>
      <c r="K69" s="46" t="s">
        <v>2329</v>
      </c>
      <c r="L69" s="63" t="s">
        <v>2330</v>
      </c>
      <c r="M69" s="36"/>
      <c r="N69" s="36"/>
      <c r="O69" s="36"/>
      <c r="P69" s="36"/>
      <c r="Q69" s="36"/>
      <c r="R69" s="36"/>
      <c r="S69" s="36"/>
      <c r="T69" s="36"/>
      <c r="U69" s="36"/>
      <c r="V69" s="36"/>
      <c r="W69" s="36"/>
      <c r="X69" s="36"/>
      <c r="Y69" s="36"/>
      <c r="Z69" s="36"/>
      <c r="AA69" s="36"/>
      <c r="AB69" s="36"/>
      <c r="AC69" s="36"/>
      <c r="AD69" s="36"/>
    </row>
    <row r="70" spans="1:30" ht="84" x14ac:dyDescent="0.4">
      <c r="A70" s="603"/>
      <c r="B70" s="608"/>
      <c r="C70" s="56" t="s">
        <v>2201</v>
      </c>
      <c r="D70" s="41" t="s">
        <v>2328</v>
      </c>
      <c r="E70" s="43" t="s">
        <v>2331</v>
      </c>
      <c r="F70" s="51"/>
      <c r="G70" s="51" t="s">
        <v>2332</v>
      </c>
      <c r="H70" s="43" t="s">
        <v>2333</v>
      </c>
      <c r="I70" s="43" t="s">
        <v>2334</v>
      </c>
      <c r="J70" s="43" t="s">
        <v>2335</v>
      </c>
      <c r="K70" s="43" t="s">
        <v>2336</v>
      </c>
      <c r="L70" s="47" t="s">
        <v>2337</v>
      </c>
      <c r="M70" s="36"/>
      <c r="N70" s="36"/>
      <c r="O70" s="36"/>
      <c r="P70" s="36"/>
      <c r="Q70" s="36"/>
      <c r="R70" s="36"/>
      <c r="S70" s="36"/>
      <c r="T70" s="36"/>
      <c r="U70" s="36"/>
      <c r="V70" s="36"/>
      <c r="W70" s="36"/>
      <c r="X70" s="36"/>
      <c r="Y70" s="36"/>
      <c r="Z70" s="36"/>
      <c r="AA70" s="36"/>
      <c r="AB70" s="36"/>
      <c r="AC70" s="36"/>
      <c r="AD70" s="36"/>
    </row>
    <row r="71" spans="1:30" ht="126" x14ac:dyDescent="0.4">
      <c r="A71" s="603"/>
      <c r="B71" s="608"/>
      <c r="C71" s="56" t="s">
        <v>2201</v>
      </c>
      <c r="D71" s="41" t="s">
        <v>2328</v>
      </c>
      <c r="E71" s="64" t="s">
        <v>2338</v>
      </c>
      <c r="F71" s="41" t="s">
        <v>2339</v>
      </c>
      <c r="G71" s="51" t="s">
        <v>2340</v>
      </c>
      <c r="H71" s="43"/>
      <c r="I71" s="43"/>
      <c r="J71" s="43" t="s">
        <v>2341</v>
      </c>
      <c r="K71" s="43" t="s">
        <v>2342</v>
      </c>
      <c r="L71" s="43"/>
      <c r="M71" s="36"/>
      <c r="N71" s="36"/>
      <c r="O71" s="36"/>
      <c r="P71" s="36"/>
      <c r="Q71" s="36"/>
      <c r="R71" s="36"/>
      <c r="S71" s="36"/>
      <c r="T71" s="36"/>
      <c r="U71" s="36"/>
      <c r="V71" s="36"/>
      <c r="W71" s="36"/>
      <c r="X71" s="36"/>
      <c r="Y71" s="36"/>
      <c r="Z71" s="36"/>
      <c r="AA71" s="36"/>
      <c r="AB71" s="36"/>
      <c r="AC71" s="36"/>
      <c r="AD71" s="36"/>
    </row>
    <row r="72" spans="1:30" ht="126" x14ac:dyDescent="0.4">
      <c r="A72" s="603"/>
      <c r="B72" s="608"/>
      <c r="C72" s="56" t="s">
        <v>2201</v>
      </c>
      <c r="D72" s="41" t="s">
        <v>2328</v>
      </c>
      <c r="E72" s="42" t="s">
        <v>2343</v>
      </c>
      <c r="F72" s="41" t="s">
        <v>2344</v>
      </c>
      <c r="G72" s="41" t="s">
        <v>2345</v>
      </c>
      <c r="H72" s="43"/>
      <c r="I72" s="43"/>
      <c r="J72" s="43"/>
      <c r="K72" s="46" t="s">
        <v>2346</v>
      </c>
      <c r="L72" s="43"/>
      <c r="M72" s="36"/>
      <c r="N72" s="36"/>
      <c r="O72" s="36"/>
      <c r="P72" s="36"/>
      <c r="Q72" s="36"/>
      <c r="R72" s="36"/>
      <c r="S72" s="36"/>
      <c r="T72" s="36"/>
      <c r="U72" s="36"/>
      <c r="V72" s="36"/>
      <c r="W72" s="36"/>
      <c r="X72" s="36"/>
      <c r="Y72" s="36"/>
      <c r="Z72" s="36"/>
      <c r="AA72" s="36"/>
      <c r="AB72" s="36"/>
      <c r="AC72" s="36"/>
      <c r="AD72" s="36"/>
    </row>
    <row r="73" spans="1:30" ht="63" x14ac:dyDescent="0.4">
      <c r="A73" s="603"/>
      <c r="B73" s="65"/>
      <c r="C73" s="66" t="s">
        <v>2347</v>
      </c>
      <c r="D73" s="41" t="s">
        <v>2348</v>
      </c>
      <c r="E73" s="42"/>
      <c r="F73" s="41"/>
      <c r="G73" s="67"/>
      <c r="H73" s="68"/>
      <c r="I73" s="46" t="s">
        <v>2349</v>
      </c>
      <c r="J73" s="46" t="s">
        <v>2350</v>
      </c>
      <c r="K73" s="43"/>
      <c r="L73" s="43"/>
      <c r="M73" s="36"/>
      <c r="N73" s="36" t="s">
        <v>2351</v>
      </c>
      <c r="O73" s="36"/>
      <c r="P73" s="36"/>
      <c r="Q73" s="36"/>
      <c r="R73" s="36"/>
      <c r="S73" s="36"/>
      <c r="T73" s="36"/>
      <c r="U73" s="36"/>
      <c r="V73" s="36"/>
      <c r="W73" s="36"/>
      <c r="X73" s="36"/>
      <c r="Y73" s="36"/>
      <c r="Z73" s="36"/>
      <c r="AA73" s="36"/>
      <c r="AB73" s="36"/>
      <c r="AC73" s="36"/>
      <c r="AD73" s="36"/>
    </row>
    <row r="74" spans="1:30" ht="105" x14ac:dyDescent="0.4">
      <c r="A74" s="603"/>
      <c r="B74" s="65"/>
      <c r="C74" s="66" t="s">
        <v>2347</v>
      </c>
      <c r="D74" s="41" t="s">
        <v>2352</v>
      </c>
      <c r="E74" s="43"/>
      <c r="F74" s="24" t="s">
        <v>2353</v>
      </c>
      <c r="G74" s="45" t="s">
        <v>2354</v>
      </c>
      <c r="H74" s="45" t="s">
        <v>2355</v>
      </c>
      <c r="I74" s="43" t="s">
        <v>2356</v>
      </c>
      <c r="J74" s="43"/>
      <c r="K74" s="43"/>
      <c r="L74" s="48"/>
      <c r="M74" s="36"/>
      <c r="N74" s="36"/>
      <c r="O74" s="36"/>
      <c r="P74" s="36" t="s">
        <v>2357</v>
      </c>
      <c r="Q74" s="36"/>
      <c r="R74" s="36"/>
      <c r="S74" s="36"/>
      <c r="T74" s="36"/>
      <c r="U74" s="36"/>
      <c r="V74" s="36"/>
      <c r="W74" s="36"/>
      <c r="X74" s="36"/>
      <c r="Y74" s="36"/>
      <c r="Z74" s="36"/>
      <c r="AA74" s="36"/>
      <c r="AB74" s="36"/>
      <c r="AC74" s="36"/>
      <c r="AD74" s="36"/>
    </row>
    <row r="75" spans="1:30" ht="84" x14ac:dyDescent="0.4">
      <c r="A75" s="603"/>
      <c r="B75" s="65"/>
      <c r="C75" s="66" t="s">
        <v>2347</v>
      </c>
      <c r="D75" s="41" t="s">
        <v>2352</v>
      </c>
      <c r="E75" s="43"/>
      <c r="F75" s="24"/>
      <c r="G75" s="45" t="s">
        <v>2358</v>
      </c>
      <c r="H75" s="45" t="s">
        <v>2359</v>
      </c>
      <c r="I75" s="43" t="s">
        <v>2360</v>
      </c>
      <c r="J75" s="43"/>
      <c r="K75" s="43"/>
      <c r="L75" s="48"/>
      <c r="M75" s="36"/>
      <c r="N75" s="36"/>
      <c r="O75" s="36"/>
      <c r="P75" s="36" t="s">
        <v>2361</v>
      </c>
      <c r="Q75" s="36"/>
      <c r="R75" s="36"/>
      <c r="S75" s="36"/>
      <c r="T75" s="36"/>
      <c r="U75" s="36"/>
      <c r="V75" s="36"/>
      <c r="W75" s="36"/>
      <c r="X75" s="36"/>
      <c r="Y75" s="36"/>
      <c r="Z75" s="36"/>
      <c r="AA75" s="36"/>
      <c r="AB75" s="36"/>
      <c r="AC75" s="36"/>
      <c r="AD75" s="36"/>
    </row>
    <row r="76" spans="1:30" ht="126" x14ac:dyDescent="0.4">
      <c r="A76" s="603"/>
      <c r="B76" s="65"/>
      <c r="C76" s="66" t="s">
        <v>2347</v>
      </c>
      <c r="D76" s="41" t="s">
        <v>2362</v>
      </c>
      <c r="E76" s="43"/>
      <c r="F76" s="24" t="s">
        <v>2363</v>
      </c>
      <c r="G76" s="45" t="s">
        <v>2364</v>
      </c>
      <c r="H76" s="45" t="s">
        <v>2365</v>
      </c>
      <c r="I76" s="46" t="s">
        <v>2366</v>
      </c>
      <c r="J76" s="46" t="s">
        <v>2367</v>
      </c>
      <c r="K76" s="43" t="s">
        <v>2368</v>
      </c>
      <c r="L76" s="47" t="s">
        <v>2369</v>
      </c>
      <c r="M76" s="36" t="s">
        <v>2370</v>
      </c>
      <c r="N76" s="36"/>
      <c r="O76" s="36"/>
      <c r="P76" s="36"/>
      <c r="Q76" s="36"/>
      <c r="R76" s="36"/>
      <c r="S76" s="36"/>
      <c r="T76" s="36"/>
      <c r="U76" s="36"/>
      <c r="V76" s="36"/>
      <c r="W76" s="36"/>
      <c r="X76" s="36"/>
      <c r="Y76" s="36"/>
      <c r="Z76" s="36"/>
      <c r="AA76" s="36"/>
      <c r="AB76" s="36"/>
      <c r="AC76" s="36"/>
      <c r="AD76" s="36"/>
    </row>
    <row r="77" spans="1:30" ht="84" x14ac:dyDescent="0.4">
      <c r="A77" s="603"/>
      <c r="B77" s="65"/>
      <c r="C77" s="66" t="s">
        <v>2347</v>
      </c>
      <c r="D77" s="41" t="s">
        <v>2362</v>
      </c>
      <c r="E77" s="43" t="s">
        <v>2371</v>
      </c>
      <c r="F77" s="52" t="s">
        <v>2372</v>
      </c>
      <c r="G77" s="55" t="s">
        <v>2373</v>
      </c>
      <c r="H77" s="45" t="s">
        <v>2374</v>
      </c>
      <c r="I77" s="46" t="s">
        <v>2375</v>
      </c>
      <c r="J77" s="43" t="s">
        <v>2376</v>
      </c>
      <c r="K77" s="46" t="s">
        <v>1249</v>
      </c>
      <c r="L77" s="47" t="s">
        <v>2377</v>
      </c>
      <c r="M77" s="36"/>
      <c r="N77" s="36"/>
      <c r="O77" s="36"/>
      <c r="P77" s="36"/>
      <c r="Q77" s="36"/>
      <c r="R77" s="36"/>
      <c r="S77" s="36"/>
      <c r="T77" s="36"/>
      <c r="U77" s="36"/>
      <c r="V77" s="36"/>
      <c r="W77" s="36"/>
      <c r="X77" s="36"/>
      <c r="Y77" s="36"/>
      <c r="Z77" s="36"/>
      <c r="AA77" s="36"/>
      <c r="AB77" s="36"/>
      <c r="AC77" s="36"/>
      <c r="AD77" s="36"/>
    </row>
    <row r="78" spans="1:30" ht="84" x14ac:dyDescent="0.4">
      <c r="A78" s="603"/>
      <c r="B78" s="65"/>
      <c r="C78" s="66" t="s">
        <v>2347</v>
      </c>
      <c r="D78" s="41" t="s">
        <v>2362</v>
      </c>
      <c r="E78" s="43"/>
      <c r="F78" s="52"/>
      <c r="G78" s="51" t="s">
        <v>2378</v>
      </c>
      <c r="H78" s="43" t="s">
        <v>2379</v>
      </c>
      <c r="I78" s="51"/>
      <c r="J78" s="43" t="s">
        <v>2380</v>
      </c>
      <c r="K78" s="43" t="s">
        <v>2381</v>
      </c>
      <c r="L78" s="47" t="s">
        <v>2382</v>
      </c>
      <c r="M78" s="36"/>
      <c r="N78" s="36"/>
      <c r="O78" s="36"/>
      <c r="P78" s="36"/>
      <c r="Q78" s="36"/>
      <c r="R78" s="36"/>
      <c r="S78" s="36"/>
      <c r="T78" s="36"/>
      <c r="U78" s="36"/>
      <c r="V78" s="36"/>
      <c r="W78" s="36"/>
      <c r="X78" s="36"/>
      <c r="Y78" s="36"/>
      <c r="Z78" s="36"/>
      <c r="AA78" s="36"/>
      <c r="AB78" s="36"/>
      <c r="AC78" s="36"/>
      <c r="AD78" s="36"/>
    </row>
    <row r="79" spans="1:30" ht="63" x14ac:dyDescent="0.4">
      <c r="A79" s="603"/>
      <c r="B79" s="65"/>
      <c r="C79" s="66" t="s">
        <v>2347</v>
      </c>
      <c r="D79" s="41" t="s">
        <v>2362</v>
      </c>
      <c r="E79" s="43"/>
      <c r="F79" s="52"/>
      <c r="G79" s="51" t="s">
        <v>2383</v>
      </c>
      <c r="H79" s="43" t="s">
        <v>2384</v>
      </c>
      <c r="I79" s="43"/>
      <c r="J79" s="46" t="s">
        <v>2385</v>
      </c>
      <c r="K79" s="43" t="s">
        <v>2386</v>
      </c>
      <c r="L79" s="48" t="s">
        <v>2387</v>
      </c>
      <c r="M79" s="36"/>
      <c r="N79" s="36"/>
      <c r="O79" s="36"/>
      <c r="P79" s="36"/>
      <c r="Q79" s="36"/>
      <c r="R79" s="36"/>
      <c r="S79" s="36"/>
      <c r="T79" s="36"/>
      <c r="U79" s="36"/>
      <c r="V79" s="36"/>
      <c r="W79" s="36"/>
      <c r="X79" s="36"/>
      <c r="Y79" s="36"/>
      <c r="Z79" s="36"/>
      <c r="AA79" s="36"/>
      <c r="AB79" s="36"/>
      <c r="AC79" s="36"/>
      <c r="AD79" s="36"/>
    </row>
    <row r="80" spans="1:30" ht="63" x14ac:dyDescent="0.4">
      <c r="A80" s="603"/>
      <c r="B80" s="65"/>
      <c r="C80" s="66" t="s">
        <v>2347</v>
      </c>
      <c r="D80" s="41" t="s">
        <v>2348</v>
      </c>
      <c r="E80" s="43"/>
      <c r="F80" s="52"/>
      <c r="G80" s="55" t="s">
        <v>2388</v>
      </c>
      <c r="H80" s="46" t="s">
        <v>2389</v>
      </c>
      <c r="I80" s="43"/>
      <c r="J80" s="43"/>
      <c r="K80" s="55" t="s">
        <v>2390</v>
      </c>
      <c r="L80" s="47" t="s">
        <v>2391</v>
      </c>
      <c r="M80" s="36"/>
      <c r="N80" s="36"/>
      <c r="O80" s="36"/>
      <c r="P80" s="36"/>
      <c r="Q80" s="36"/>
      <c r="R80" s="36"/>
      <c r="S80" s="36"/>
      <c r="T80" s="36"/>
      <c r="U80" s="36"/>
      <c r="V80" s="36"/>
      <c r="W80" s="36"/>
      <c r="X80" s="36"/>
      <c r="Y80" s="36"/>
      <c r="Z80" s="36"/>
      <c r="AA80" s="36"/>
      <c r="AB80" s="36"/>
      <c r="AC80" s="36"/>
      <c r="AD80" s="36"/>
    </row>
    <row r="81" spans="1:30" ht="63" x14ac:dyDescent="0.4">
      <c r="A81" s="603"/>
      <c r="B81" s="65"/>
      <c r="C81" s="66" t="s">
        <v>2347</v>
      </c>
      <c r="D81" s="41" t="s">
        <v>2352</v>
      </c>
      <c r="E81" s="43"/>
      <c r="F81" s="52"/>
      <c r="G81" s="55" t="s">
        <v>2392</v>
      </c>
      <c r="H81" s="46" t="s">
        <v>2393</v>
      </c>
      <c r="I81" s="43" t="s">
        <v>2394</v>
      </c>
      <c r="J81" s="43"/>
      <c r="K81" s="43" t="s">
        <v>2395</v>
      </c>
      <c r="L81" s="47" t="s">
        <v>2396</v>
      </c>
      <c r="M81" s="36"/>
      <c r="N81" s="36"/>
      <c r="O81" s="36"/>
      <c r="P81" s="36"/>
      <c r="Q81" s="36"/>
      <c r="R81" s="36"/>
      <c r="S81" s="36"/>
      <c r="T81" s="36"/>
      <c r="U81" s="36"/>
      <c r="V81" s="36"/>
      <c r="W81" s="36"/>
      <c r="X81" s="36"/>
      <c r="Y81" s="36"/>
      <c r="Z81" s="36"/>
      <c r="AA81" s="36"/>
      <c r="AB81" s="36"/>
      <c r="AC81" s="36"/>
      <c r="AD81" s="36"/>
    </row>
    <row r="82" spans="1:30" ht="63" x14ac:dyDescent="0.4">
      <c r="A82" s="603"/>
      <c r="B82" s="65"/>
      <c r="C82" s="66" t="s">
        <v>2347</v>
      </c>
      <c r="D82" s="41" t="s">
        <v>2362</v>
      </c>
      <c r="E82" s="43"/>
      <c r="F82" s="23" t="s">
        <v>2397</v>
      </c>
      <c r="G82" s="45" t="s">
        <v>2398</v>
      </c>
      <c r="H82" s="46" t="s">
        <v>2399</v>
      </c>
      <c r="I82" s="43"/>
      <c r="J82" s="43"/>
      <c r="K82" s="46" t="s">
        <v>2400</v>
      </c>
      <c r="L82" s="48"/>
      <c r="M82" s="36"/>
      <c r="N82" s="36"/>
      <c r="O82" s="36"/>
      <c r="P82" s="36"/>
      <c r="Q82" s="36" t="s">
        <v>2401</v>
      </c>
      <c r="R82" s="36"/>
      <c r="S82" s="36"/>
      <c r="T82" s="36"/>
      <c r="U82" s="36"/>
      <c r="V82" s="36"/>
      <c r="W82" s="36"/>
      <c r="X82" s="36"/>
      <c r="Y82" s="36"/>
      <c r="Z82" s="36"/>
      <c r="AA82" s="36"/>
      <c r="AB82" s="36"/>
      <c r="AC82" s="36"/>
      <c r="AD82" s="36"/>
    </row>
    <row r="83" spans="1:30" ht="42" x14ac:dyDescent="0.4">
      <c r="A83" s="603"/>
      <c r="B83" s="65"/>
      <c r="C83" s="66" t="s">
        <v>2347</v>
      </c>
      <c r="D83" s="41" t="s">
        <v>2362</v>
      </c>
      <c r="E83" s="43"/>
      <c r="F83" s="50"/>
      <c r="G83" s="50"/>
      <c r="H83" s="46" t="s">
        <v>2402</v>
      </c>
      <c r="I83" s="43"/>
      <c r="J83" s="43"/>
      <c r="K83" s="46" t="s">
        <v>2403</v>
      </c>
      <c r="L83" s="48"/>
      <c r="M83" s="36"/>
      <c r="N83" s="36"/>
      <c r="O83" s="36"/>
      <c r="P83" s="36"/>
      <c r="Q83" s="36"/>
      <c r="R83" s="36"/>
      <c r="S83" s="36"/>
      <c r="T83" s="36"/>
      <c r="U83" s="36"/>
      <c r="V83" s="36"/>
      <c r="W83" s="36"/>
      <c r="X83" s="36"/>
      <c r="Y83" s="36"/>
      <c r="Z83" s="36"/>
      <c r="AA83" s="36"/>
      <c r="AB83" s="36"/>
      <c r="AC83" s="36"/>
      <c r="AD83" s="36"/>
    </row>
    <row r="84" spans="1:30" ht="42" x14ac:dyDescent="0.4">
      <c r="A84" s="603"/>
      <c r="B84" s="65"/>
      <c r="C84" s="66" t="s">
        <v>2347</v>
      </c>
      <c r="D84" s="41" t="s">
        <v>2362</v>
      </c>
      <c r="E84" s="43"/>
      <c r="F84" s="50"/>
      <c r="G84" s="50"/>
      <c r="H84" s="46" t="s">
        <v>2404</v>
      </c>
      <c r="I84" s="43"/>
      <c r="J84" s="43"/>
      <c r="K84" s="46" t="s">
        <v>2405</v>
      </c>
      <c r="L84" s="48"/>
      <c r="M84" s="36"/>
      <c r="N84" s="36"/>
      <c r="O84" s="36"/>
      <c r="P84" s="36"/>
      <c r="Q84" s="36"/>
      <c r="R84" s="36"/>
      <c r="S84" s="36"/>
      <c r="T84" s="36"/>
      <c r="U84" s="36"/>
      <c r="V84" s="36"/>
      <c r="W84" s="36"/>
      <c r="X84" s="36"/>
      <c r="Y84" s="36"/>
      <c r="Z84" s="36"/>
      <c r="AA84" s="36"/>
      <c r="AB84" s="36"/>
      <c r="AC84" s="36"/>
      <c r="AD84" s="36"/>
    </row>
    <row r="85" spans="1:30" ht="84" x14ac:dyDescent="0.4">
      <c r="A85" s="603"/>
      <c r="B85" s="65"/>
      <c r="C85" s="66" t="s">
        <v>2347</v>
      </c>
      <c r="D85" s="41" t="s">
        <v>2348</v>
      </c>
      <c r="E85" s="43"/>
      <c r="F85" s="50"/>
      <c r="G85" s="50"/>
      <c r="H85" s="46" t="s">
        <v>2406</v>
      </c>
      <c r="I85" s="43"/>
      <c r="J85" s="43"/>
      <c r="K85" s="46" t="s">
        <v>2407</v>
      </c>
      <c r="L85" s="48"/>
      <c r="M85" s="36"/>
      <c r="N85" s="36"/>
      <c r="O85" s="36"/>
      <c r="P85" s="36"/>
      <c r="Q85" s="36" t="s">
        <v>2408</v>
      </c>
      <c r="R85" s="36"/>
      <c r="S85" s="36"/>
      <c r="T85" s="36"/>
      <c r="U85" s="36"/>
      <c r="V85" s="36"/>
      <c r="W85" s="36"/>
      <c r="X85" s="36"/>
      <c r="Y85" s="36"/>
      <c r="Z85" s="36"/>
      <c r="AA85" s="36"/>
      <c r="AB85" s="36"/>
      <c r="AC85" s="36"/>
      <c r="AD85" s="36"/>
    </row>
    <row r="86" spans="1:30" ht="63" x14ac:dyDescent="0.4">
      <c r="A86" s="603"/>
      <c r="B86" s="65"/>
      <c r="C86" s="66" t="s">
        <v>2347</v>
      </c>
      <c r="D86" s="41" t="s">
        <v>2348</v>
      </c>
      <c r="E86" s="43"/>
      <c r="F86" s="50"/>
      <c r="G86" s="50"/>
      <c r="H86" s="46" t="s">
        <v>2409</v>
      </c>
      <c r="I86" s="43"/>
      <c r="J86" s="43"/>
      <c r="K86" s="99" t="s">
        <v>2410</v>
      </c>
      <c r="L86" s="48"/>
      <c r="M86" s="36"/>
      <c r="N86" s="36"/>
      <c r="O86" s="36"/>
      <c r="P86" s="36"/>
      <c r="Q86" s="36"/>
      <c r="R86" s="36"/>
      <c r="S86" s="36"/>
      <c r="T86" s="36"/>
      <c r="U86" s="36"/>
      <c r="V86" s="36"/>
      <c r="W86" s="36"/>
      <c r="X86" s="36"/>
      <c r="Y86" s="36"/>
      <c r="Z86" s="36"/>
      <c r="AA86" s="36"/>
      <c r="AB86" s="36"/>
      <c r="AC86" s="36"/>
      <c r="AD86" s="36"/>
    </row>
    <row r="87" spans="1:30" ht="63" x14ac:dyDescent="0.4">
      <c r="A87" s="603"/>
      <c r="B87" s="65"/>
      <c r="C87" s="66" t="s">
        <v>2347</v>
      </c>
      <c r="D87" s="41" t="s">
        <v>2348</v>
      </c>
      <c r="E87" s="43"/>
      <c r="F87" s="50"/>
      <c r="G87" s="50"/>
      <c r="H87" s="46" t="s">
        <v>2411</v>
      </c>
      <c r="I87" s="43"/>
      <c r="J87" s="43"/>
      <c r="K87" s="51"/>
      <c r="L87" s="48"/>
      <c r="M87" s="36"/>
      <c r="N87" s="36"/>
      <c r="O87" s="36"/>
      <c r="P87" s="36"/>
      <c r="Q87" s="36"/>
      <c r="R87" s="36"/>
      <c r="S87" s="36"/>
      <c r="T87" s="36"/>
      <c r="U87" s="36"/>
      <c r="V87" s="36"/>
      <c r="W87" s="36"/>
      <c r="X87" s="36"/>
      <c r="Y87" s="36"/>
      <c r="Z87" s="36"/>
      <c r="AA87" s="36"/>
      <c r="AB87" s="36"/>
      <c r="AC87" s="36"/>
      <c r="AD87" s="36"/>
    </row>
    <row r="88" spans="1:30" ht="84" x14ac:dyDescent="0.4">
      <c r="A88" s="603"/>
      <c r="B88" s="65"/>
      <c r="C88" s="66" t="s">
        <v>2347</v>
      </c>
      <c r="D88" s="41" t="s">
        <v>2348</v>
      </c>
      <c r="E88" s="43"/>
      <c r="F88" s="50"/>
      <c r="G88" s="50"/>
      <c r="H88" s="53" t="s">
        <v>2412</v>
      </c>
      <c r="I88" s="43"/>
      <c r="J88" s="43"/>
      <c r="K88" s="43"/>
      <c r="L88" s="48"/>
      <c r="M88" s="36"/>
      <c r="N88" s="36"/>
      <c r="O88" s="36"/>
      <c r="P88" s="36"/>
      <c r="Q88" s="36" t="s">
        <v>2413</v>
      </c>
      <c r="R88" s="36"/>
      <c r="S88" s="36"/>
      <c r="T88" s="36"/>
      <c r="U88" s="36"/>
      <c r="V88" s="36"/>
      <c r="W88" s="36"/>
      <c r="X88" s="36"/>
      <c r="Y88" s="36"/>
      <c r="Z88" s="36"/>
      <c r="AA88" s="36"/>
      <c r="AB88" s="36"/>
      <c r="AC88" s="36"/>
      <c r="AD88" s="36"/>
    </row>
    <row r="89" spans="1:30" ht="42" x14ac:dyDescent="0.4">
      <c r="A89" s="603"/>
      <c r="B89" s="608" t="s">
        <v>2044</v>
      </c>
      <c r="C89" s="69" t="s">
        <v>846</v>
      </c>
      <c r="D89" s="67" t="s">
        <v>846</v>
      </c>
      <c r="E89" s="43"/>
      <c r="F89" s="52" t="s">
        <v>2153</v>
      </c>
      <c r="G89" s="50" t="s">
        <v>2414</v>
      </c>
      <c r="H89" s="43" t="s">
        <v>2415</v>
      </c>
      <c r="I89" s="43"/>
      <c r="J89" s="43"/>
      <c r="K89" s="43"/>
      <c r="L89" s="48"/>
      <c r="M89" s="36"/>
      <c r="N89" s="36"/>
      <c r="O89" s="36"/>
      <c r="P89" s="36"/>
      <c r="Q89" s="36"/>
      <c r="R89" s="36"/>
      <c r="S89" s="36"/>
      <c r="T89" s="36"/>
      <c r="U89" s="36"/>
      <c r="V89" s="36"/>
      <c r="W89" s="36"/>
      <c r="X89" s="36"/>
      <c r="Y89" s="36"/>
      <c r="Z89" s="36"/>
      <c r="AA89" s="36"/>
      <c r="AB89" s="36"/>
      <c r="AC89" s="36"/>
      <c r="AD89" s="36"/>
    </row>
    <row r="90" spans="1:30" ht="84" x14ac:dyDescent="0.4">
      <c r="A90" s="603"/>
      <c r="B90" s="608"/>
      <c r="C90" s="69" t="s">
        <v>846</v>
      </c>
      <c r="D90" s="67" t="s">
        <v>846</v>
      </c>
      <c r="E90" s="43"/>
      <c r="F90" s="52" t="s">
        <v>1221</v>
      </c>
      <c r="G90" s="50"/>
      <c r="H90" s="43"/>
      <c r="I90" s="43"/>
      <c r="J90" s="43"/>
      <c r="K90" s="43"/>
      <c r="L90" s="48"/>
      <c r="M90" s="36"/>
      <c r="N90" s="36"/>
      <c r="O90" s="36"/>
      <c r="P90" s="36"/>
      <c r="Q90" s="36"/>
      <c r="R90" s="36"/>
      <c r="S90" s="36"/>
      <c r="T90" s="36"/>
      <c r="U90" s="36"/>
      <c r="V90" s="36"/>
      <c r="W90" s="36"/>
      <c r="X90" s="36"/>
      <c r="Y90" s="36"/>
      <c r="Z90" s="36"/>
      <c r="AA90" s="36"/>
      <c r="AB90" s="36"/>
      <c r="AC90" s="36"/>
      <c r="AD90" s="36"/>
    </row>
    <row r="91" spans="1:30" ht="42" x14ac:dyDescent="0.4">
      <c r="A91" s="603"/>
      <c r="B91" s="608"/>
      <c r="C91" s="69" t="s">
        <v>846</v>
      </c>
      <c r="D91" s="67" t="s">
        <v>846</v>
      </c>
      <c r="E91" s="43"/>
      <c r="F91" s="52" t="s">
        <v>2416</v>
      </c>
      <c r="G91" s="50"/>
      <c r="H91" s="43"/>
      <c r="I91" s="43"/>
      <c r="J91" s="43"/>
      <c r="K91" s="43"/>
      <c r="L91" s="48"/>
      <c r="M91" s="36"/>
      <c r="N91" s="36"/>
      <c r="O91" s="36"/>
      <c r="P91" s="36"/>
      <c r="Q91" s="36"/>
      <c r="R91" s="36"/>
      <c r="S91" s="36"/>
      <c r="T91" s="36"/>
      <c r="U91" s="36"/>
      <c r="V91" s="36"/>
      <c r="W91" s="36"/>
      <c r="X91" s="36"/>
      <c r="Y91" s="36"/>
      <c r="Z91" s="36"/>
      <c r="AA91" s="36"/>
      <c r="AB91" s="36"/>
      <c r="AC91" s="36"/>
      <c r="AD91" s="36"/>
    </row>
    <row r="92" spans="1:30" ht="21" x14ac:dyDescent="0.4">
      <c r="A92" s="603"/>
      <c r="B92" s="70"/>
      <c r="C92" s="71" t="s">
        <v>2417</v>
      </c>
      <c r="D92" s="67" t="s">
        <v>2417</v>
      </c>
      <c r="E92" s="43"/>
      <c r="F92" s="52"/>
      <c r="G92" s="50"/>
      <c r="H92" s="43"/>
      <c r="I92" s="43"/>
      <c r="J92" s="43"/>
      <c r="K92" s="43"/>
      <c r="L92" s="48"/>
      <c r="M92" s="36"/>
      <c r="N92" s="36"/>
      <c r="O92" s="36"/>
      <c r="P92" s="36"/>
      <c r="Q92" s="36"/>
      <c r="R92" s="36"/>
      <c r="S92" s="36"/>
      <c r="T92" s="36"/>
      <c r="U92" s="36"/>
      <c r="V92" s="36"/>
      <c r="W92" s="36"/>
      <c r="X92" s="36"/>
      <c r="Y92" s="36"/>
      <c r="Z92" s="36"/>
      <c r="AA92" s="36"/>
      <c r="AB92" s="36"/>
      <c r="AC92" s="36"/>
      <c r="AD92" s="36"/>
    </row>
    <row r="93" spans="1:30" ht="84" x14ac:dyDescent="0.3">
      <c r="A93" s="603"/>
      <c r="B93" s="609" t="s">
        <v>2418</v>
      </c>
      <c r="C93" s="72" t="s">
        <v>2045</v>
      </c>
      <c r="D93" s="51" t="s">
        <v>2419</v>
      </c>
      <c r="E93" s="51" t="s">
        <v>2420</v>
      </c>
      <c r="F93" s="51"/>
      <c r="G93" s="50" t="s">
        <v>2421</v>
      </c>
      <c r="H93" s="43"/>
      <c r="I93" s="43"/>
      <c r="J93" s="43"/>
      <c r="K93" s="43" t="s">
        <v>2422</v>
      </c>
      <c r="L93" s="48"/>
      <c r="M93" s="36"/>
      <c r="N93" s="36"/>
      <c r="O93" s="36"/>
      <c r="P93" s="36" t="s">
        <v>2423</v>
      </c>
      <c r="Q93" s="36"/>
      <c r="R93" s="36"/>
      <c r="S93" s="36"/>
      <c r="T93" s="36"/>
      <c r="U93" s="36"/>
      <c r="V93" s="36"/>
      <c r="W93" s="36"/>
      <c r="X93" s="36"/>
      <c r="Y93" s="36"/>
      <c r="Z93" s="36"/>
      <c r="AA93" s="36"/>
      <c r="AB93" s="36"/>
      <c r="AC93" s="36"/>
      <c r="AD93" s="36"/>
    </row>
    <row r="94" spans="1:30" ht="147" x14ac:dyDescent="0.3">
      <c r="A94" s="603"/>
      <c r="B94" s="608"/>
      <c r="C94" s="72" t="s">
        <v>2045</v>
      </c>
      <c r="D94" s="51" t="s">
        <v>2419</v>
      </c>
      <c r="E94" s="51" t="s">
        <v>2424</v>
      </c>
      <c r="F94" s="51"/>
      <c r="G94" s="50"/>
      <c r="H94" s="43"/>
      <c r="I94" s="43" t="s">
        <v>2425</v>
      </c>
      <c r="J94" s="43"/>
      <c r="K94" s="43" t="s">
        <v>2426</v>
      </c>
      <c r="L94" s="48"/>
      <c r="M94" s="36"/>
      <c r="N94" s="36"/>
      <c r="O94" s="36"/>
      <c r="P94" s="36" t="s">
        <v>2427</v>
      </c>
      <c r="Q94" s="36"/>
      <c r="R94" s="36"/>
      <c r="S94" s="36"/>
      <c r="T94" s="36"/>
      <c r="U94" s="36"/>
      <c r="V94" s="36"/>
      <c r="W94" s="36"/>
      <c r="X94" s="36"/>
      <c r="Y94" s="36"/>
      <c r="Z94" s="36"/>
      <c r="AA94" s="36"/>
      <c r="AB94" s="36"/>
      <c r="AC94" s="36"/>
      <c r="AD94" s="36"/>
    </row>
    <row r="95" spans="1:30" ht="105" x14ac:dyDescent="0.3">
      <c r="A95" s="603"/>
      <c r="B95" s="608"/>
      <c r="C95" s="72" t="s">
        <v>2045</v>
      </c>
      <c r="D95" s="51" t="s">
        <v>2419</v>
      </c>
      <c r="E95" s="51" t="s">
        <v>2428</v>
      </c>
      <c r="F95" s="51"/>
      <c r="G95" s="50"/>
      <c r="H95" s="43"/>
      <c r="I95" s="43"/>
      <c r="J95" s="43"/>
      <c r="K95" s="43" t="s">
        <v>2429</v>
      </c>
      <c r="L95" s="48"/>
      <c r="M95" s="36"/>
      <c r="N95" s="36"/>
      <c r="O95" s="36"/>
      <c r="P95" s="36"/>
      <c r="Q95" s="36"/>
      <c r="R95" s="36"/>
      <c r="S95" s="36"/>
      <c r="T95" s="36"/>
      <c r="U95" s="36"/>
      <c r="V95" s="36"/>
      <c r="W95" s="36"/>
      <c r="X95" s="36"/>
      <c r="Y95" s="36"/>
      <c r="Z95" s="36"/>
      <c r="AA95" s="36"/>
      <c r="AB95" s="36"/>
      <c r="AC95" s="36"/>
      <c r="AD95" s="36"/>
    </row>
    <row r="96" spans="1:30" ht="105" x14ac:dyDescent="0.3">
      <c r="A96" s="603"/>
      <c r="B96" s="608"/>
      <c r="C96" s="72" t="s">
        <v>2045</v>
      </c>
      <c r="D96" s="51" t="s">
        <v>2430</v>
      </c>
      <c r="E96" s="51" t="s">
        <v>2431</v>
      </c>
      <c r="F96" s="51"/>
      <c r="G96" s="50"/>
      <c r="H96" s="43"/>
      <c r="I96" s="43"/>
      <c r="J96" s="43"/>
      <c r="K96" s="43"/>
      <c r="L96" s="48"/>
      <c r="M96" s="36"/>
      <c r="N96" s="36"/>
      <c r="O96" s="36"/>
      <c r="P96" s="36"/>
      <c r="Q96" s="36"/>
      <c r="R96" s="36"/>
      <c r="S96" s="36"/>
      <c r="T96" s="36"/>
      <c r="U96" s="36"/>
      <c r="V96" s="36"/>
      <c r="W96" s="36"/>
      <c r="X96" s="36"/>
      <c r="Y96" s="36"/>
      <c r="Z96" s="36"/>
      <c r="AA96" s="36"/>
      <c r="AB96" s="36"/>
      <c r="AC96" s="36"/>
      <c r="AD96" s="36"/>
    </row>
    <row r="97" spans="1:30" ht="63" x14ac:dyDescent="0.3">
      <c r="A97" s="603"/>
      <c r="B97" s="608"/>
      <c r="C97" s="72" t="s">
        <v>2045</v>
      </c>
      <c r="D97" s="51" t="s">
        <v>2419</v>
      </c>
      <c r="E97" s="51" t="s">
        <v>2432</v>
      </c>
      <c r="F97" s="51"/>
      <c r="G97" s="50"/>
      <c r="H97" s="43"/>
      <c r="I97" s="43"/>
      <c r="J97" s="43"/>
      <c r="K97" s="43"/>
      <c r="L97" s="48"/>
      <c r="M97" s="36"/>
      <c r="N97" s="36"/>
      <c r="O97" s="36"/>
      <c r="P97" s="36"/>
      <c r="Q97" s="36"/>
      <c r="R97" s="36"/>
      <c r="S97" s="36"/>
      <c r="T97" s="36"/>
      <c r="U97" s="36"/>
      <c r="V97" s="36"/>
      <c r="W97" s="36"/>
      <c r="X97" s="36"/>
      <c r="Y97" s="36"/>
      <c r="Z97" s="36"/>
      <c r="AA97" s="36"/>
      <c r="AB97" s="36"/>
      <c r="AC97" s="36"/>
      <c r="AD97" s="36"/>
    </row>
    <row r="98" spans="1:30" ht="126" x14ac:dyDescent="0.3">
      <c r="A98" s="603"/>
      <c r="B98" s="608"/>
      <c r="C98" s="51" t="s">
        <v>757</v>
      </c>
      <c r="D98" s="51" t="s">
        <v>757</v>
      </c>
      <c r="E98" s="51" t="s">
        <v>2433</v>
      </c>
      <c r="F98" s="51"/>
      <c r="G98" s="50"/>
      <c r="H98" s="43"/>
      <c r="I98" s="43"/>
      <c r="J98" s="43"/>
      <c r="K98" s="43"/>
      <c r="L98" s="48"/>
      <c r="N98" s="36"/>
      <c r="O98" s="36"/>
      <c r="P98" s="36"/>
      <c r="Q98" s="36" t="s">
        <v>2434</v>
      </c>
      <c r="R98" s="36"/>
      <c r="S98" s="36"/>
      <c r="T98" s="36"/>
      <c r="U98" s="36"/>
      <c r="V98" s="36"/>
      <c r="W98" s="36"/>
      <c r="X98" s="36"/>
      <c r="Y98" s="36"/>
      <c r="Z98" s="36"/>
      <c r="AA98" s="36"/>
      <c r="AB98" s="36"/>
      <c r="AC98" s="36"/>
      <c r="AD98" s="36"/>
    </row>
    <row r="99" spans="1:30" ht="84" x14ac:dyDescent="0.3">
      <c r="A99" s="604"/>
      <c r="B99" s="610"/>
      <c r="C99" s="51" t="s">
        <v>757</v>
      </c>
      <c r="D99" s="51" t="s">
        <v>757</v>
      </c>
      <c r="E99" s="51" t="s">
        <v>2435</v>
      </c>
      <c r="F99" s="51"/>
      <c r="G99" s="50"/>
      <c r="H99" s="43"/>
      <c r="I99" s="43"/>
      <c r="J99" s="43"/>
      <c r="K99" s="43"/>
      <c r="L99" s="48"/>
      <c r="N99" s="36"/>
      <c r="O99" s="36"/>
      <c r="P99" s="36"/>
      <c r="Q99" s="36"/>
      <c r="R99" s="36"/>
      <c r="S99" s="36"/>
      <c r="T99" s="36"/>
      <c r="U99" s="36"/>
      <c r="V99" s="36"/>
      <c r="W99" s="36"/>
      <c r="X99" s="36"/>
      <c r="Y99" s="36"/>
      <c r="Z99" s="36"/>
      <c r="AA99" s="36"/>
      <c r="AB99" s="36"/>
      <c r="AC99" s="36"/>
      <c r="AD99" s="36"/>
    </row>
    <row r="100" spans="1:30" ht="168" x14ac:dyDescent="0.3">
      <c r="A100" s="73"/>
      <c r="B100" s="70"/>
      <c r="C100" s="51"/>
      <c r="D100" s="51" t="s">
        <v>2436</v>
      </c>
      <c r="E100" s="51"/>
      <c r="F100" s="51"/>
      <c r="G100" s="50"/>
      <c r="H100" s="43"/>
      <c r="I100" s="43"/>
      <c r="J100" s="43"/>
      <c r="K100" s="43"/>
      <c r="L100" s="48"/>
      <c r="N100" s="36"/>
      <c r="O100" s="36"/>
      <c r="P100" s="36"/>
      <c r="Q100" s="36" t="s">
        <v>2437</v>
      </c>
      <c r="R100" s="36"/>
      <c r="S100" s="36"/>
      <c r="T100" s="36"/>
      <c r="U100" s="36"/>
      <c r="V100" s="36"/>
      <c r="W100" s="36"/>
      <c r="X100" s="36"/>
      <c r="Y100" s="36"/>
      <c r="Z100" s="36"/>
      <c r="AA100" s="36"/>
      <c r="AB100" s="36"/>
      <c r="AC100" s="36"/>
      <c r="AD100" s="36"/>
    </row>
    <row r="101" spans="1:30" ht="210" x14ac:dyDescent="0.3">
      <c r="A101" s="73"/>
      <c r="B101" s="70"/>
      <c r="C101" s="51"/>
      <c r="D101" s="51" t="s">
        <v>2436</v>
      </c>
      <c r="E101" s="51"/>
      <c r="F101" s="51"/>
      <c r="G101" s="50"/>
      <c r="H101" s="43"/>
      <c r="I101" s="43"/>
      <c r="J101" s="43"/>
      <c r="K101" s="43"/>
      <c r="L101" s="48"/>
      <c r="N101" s="36"/>
      <c r="O101" s="36"/>
      <c r="P101" s="36"/>
      <c r="Q101" s="36" t="s">
        <v>2438</v>
      </c>
      <c r="R101" s="36"/>
      <c r="S101" s="36"/>
      <c r="T101" s="36"/>
      <c r="U101" s="36"/>
      <c r="V101" s="36"/>
      <c r="W101" s="36"/>
      <c r="X101" s="36"/>
      <c r="Y101" s="36"/>
      <c r="Z101" s="36"/>
      <c r="AA101" s="36"/>
      <c r="AB101" s="36"/>
      <c r="AC101" s="36"/>
      <c r="AD101" s="36"/>
    </row>
    <row r="102" spans="1:30" ht="126" x14ac:dyDescent="0.3">
      <c r="A102" s="73"/>
      <c r="B102" s="70"/>
      <c r="C102" s="51"/>
      <c r="D102" s="51" t="s">
        <v>2436</v>
      </c>
      <c r="E102" s="51"/>
      <c r="F102" s="51"/>
      <c r="G102" s="50"/>
      <c r="H102" s="43"/>
      <c r="I102" s="43"/>
      <c r="J102" s="43"/>
      <c r="K102" s="43"/>
      <c r="L102" s="48"/>
      <c r="N102" s="36" t="s">
        <v>2439</v>
      </c>
      <c r="O102" s="36"/>
      <c r="P102" s="36"/>
      <c r="Q102" s="36" t="s">
        <v>2440</v>
      </c>
      <c r="R102" s="36"/>
      <c r="S102" s="36"/>
      <c r="T102" s="36"/>
      <c r="U102" s="36"/>
      <c r="V102" s="36"/>
      <c r="W102" s="36"/>
      <c r="X102" s="36"/>
      <c r="Y102" s="36"/>
      <c r="Z102" s="36"/>
      <c r="AA102" s="36"/>
      <c r="AB102" s="36"/>
      <c r="AC102" s="36"/>
      <c r="AD102" s="36"/>
    </row>
    <row r="103" spans="1:30" ht="189" x14ac:dyDescent="0.3">
      <c r="A103" s="73"/>
      <c r="B103" s="70"/>
      <c r="C103" s="51"/>
      <c r="D103" s="51" t="s">
        <v>1721</v>
      </c>
      <c r="E103" s="51"/>
      <c r="F103" s="51"/>
      <c r="G103" s="50"/>
      <c r="H103" s="43"/>
      <c r="I103" s="43"/>
      <c r="J103" s="43"/>
      <c r="K103" s="43"/>
      <c r="L103" s="48"/>
      <c r="N103" s="36" t="s">
        <v>2441</v>
      </c>
      <c r="O103" s="36"/>
      <c r="P103" s="36"/>
      <c r="Q103" s="36" t="s">
        <v>2442</v>
      </c>
      <c r="R103" s="36"/>
      <c r="S103" s="36"/>
      <c r="T103" s="36"/>
      <c r="U103" s="36"/>
      <c r="V103" s="36"/>
      <c r="W103" s="36"/>
      <c r="X103" s="36"/>
      <c r="Y103" s="36"/>
      <c r="Z103" s="36"/>
      <c r="AA103" s="36"/>
      <c r="AB103" s="36"/>
      <c r="AC103" s="36"/>
      <c r="AD103" s="36"/>
    </row>
    <row r="104" spans="1:30" ht="84" x14ac:dyDescent="0.3">
      <c r="A104" s="73"/>
      <c r="B104" s="70"/>
      <c r="C104" s="51"/>
      <c r="D104" s="51" t="s">
        <v>1721</v>
      </c>
      <c r="E104" s="51"/>
      <c r="F104" s="51"/>
      <c r="G104" s="50"/>
      <c r="H104" s="43"/>
      <c r="I104" s="43"/>
      <c r="J104" s="43"/>
      <c r="K104" s="43"/>
      <c r="L104" s="48"/>
      <c r="N104" s="36"/>
      <c r="O104" s="36"/>
      <c r="P104" s="36"/>
      <c r="Q104" s="36" t="s">
        <v>2443</v>
      </c>
      <c r="R104" s="36"/>
      <c r="S104" s="36"/>
      <c r="T104" s="36"/>
      <c r="U104" s="36"/>
      <c r="V104" s="36"/>
      <c r="W104" s="36"/>
      <c r="X104" s="36"/>
      <c r="Y104" s="36"/>
      <c r="Z104" s="36"/>
      <c r="AA104" s="36"/>
      <c r="AB104" s="36"/>
      <c r="AC104" s="36"/>
      <c r="AD104" s="36"/>
    </row>
    <row r="105" spans="1:30" ht="21" x14ac:dyDescent="0.3">
      <c r="A105" s="73"/>
      <c r="B105" s="70"/>
      <c r="C105" s="51"/>
      <c r="D105" s="51"/>
      <c r="E105" s="51"/>
      <c r="F105" s="51"/>
      <c r="G105" s="50"/>
      <c r="H105" s="43"/>
      <c r="I105" s="43"/>
      <c r="J105" s="43"/>
      <c r="K105" s="43"/>
      <c r="L105" s="48"/>
      <c r="N105" s="36"/>
      <c r="O105" s="36"/>
      <c r="P105" s="36"/>
      <c r="Q105" s="36"/>
      <c r="R105" s="36"/>
      <c r="S105" s="36"/>
      <c r="T105" s="36"/>
      <c r="U105" s="36"/>
      <c r="V105" s="36"/>
      <c r="W105" s="36"/>
      <c r="X105" s="36"/>
      <c r="Y105" s="36"/>
      <c r="Z105" s="36"/>
      <c r="AA105" s="36"/>
      <c r="AB105" s="36"/>
      <c r="AC105" s="36"/>
      <c r="AD105" s="36"/>
    </row>
    <row r="106" spans="1:30" ht="21" x14ac:dyDescent="0.3">
      <c r="A106" s="73"/>
      <c r="B106" s="70"/>
      <c r="C106" s="51"/>
      <c r="D106" s="51"/>
      <c r="E106" s="51"/>
      <c r="F106" s="51"/>
      <c r="G106" s="50"/>
      <c r="H106" s="43"/>
      <c r="I106" s="43"/>
      <c r="J106" s="43"/>
      <c r="K106" s="43"/>
      <c r="L106" s="48"/>
      <c r="N106" s="36"/>
      <c r="O106" s="36"/>
      <c r="P106" s="36"/>
      <c r="Q106" s="36"/>
      <c r="R106" s="36"/>
      <c r="S106" s="36"/>
      <c r="T106" s="36"/>
      <c r="U106" s="36"/>
      <c r="V106" s="36"/>
      <c r="W106" s="36"/>
      <c r="X106" s="36"/>
      <c r="Y106" s="36"/>
      <c r="Z106" s="36"/>
      <c r="AA106" s="36"/>
      <c r="AB106" s="36"/>
      <c r="AC106" s="36"/>
      <c r="AD106" s="36"/>
    </row>
    <row r="107" spans="1:30" ht="21" x14ac:dyDescent="0.3">
      <c r="A107" s="73"/>
      <c r="B107" s="70"/>
      <c r="C107" s="51"/>
      <c r="D107" s="51"/>
      <c r="E107" s="51"/>
      <c r="F107" s="51"/>
      <c r="G107" s="50"/>
      <c r="H107" s="43"/>
      <c r="I107" s="43"/>
      <c r="J107" s="43"/>
      <c r="K107" s="43"/>
      <c r="L107" s="48"/>
      <c r="N107" s="36"/>
      <c r="O107" s="36"/>
      <c r="P107" s="36"/>
      <c r="Q107" s="36"/>
      <c r="R107" s="36"/>
      <c r="S107" s="36"/>
      <c r="T107" s="36"/>
      <c r="U107" s="36"/>
      <c r="V107" s="36"/>
      <c r="W107" s="36"/>
      <c r="X107" s="36"/>
      <c r="Y107" s="36"/>
      <c r="Z107" s="36"/>
      <c r="AA107" s="36"/>
      <c r="AB107" s="36"/>
      <c r="AC107" s="36"/>
      <c r="AD107" s="36"/>
    </row>
    <row r="108" spans="1:30" ht="21" x14ac:dyDescent="0.3">
      <c r="A108" s="73"/>
      <c r="B108" s="70"/>
      <c r="C108" s="51"/>
      <c r="D108" s="51"/>
      <c r="E108" s="51"/>
      <c r="F108" s="51"/>
      <c r="G108" s="50"/>
      <c r="H108" s="43"/>
      <c r="I108" s="43"/>
      <c r="J108" s="43"/>
      <c r="K108" s="43"/>
      <c r="L108" s="48"/>
      <c r="N108" s="36"/>
      <c r="O108" s="36"/>
      <c r="P108" s="36"/>
      <c r="Q108" s="36"/>
      <c r="R108" s="36"/>
      <c r="S108" s="36"/>
      <c r="T108" s="36"/>
      <c r="U108" s="36"/>
      <c r="V108" s="36"/>
      <c r="W108" s="36"/>
      <c r="X108" s="36"/>
      <c r="Y108" s="36"/>
      <c r="Z108" s="36"/>
      <c r="AA108" s="36"/>
      <c r="AB108" s="36"/>
      <c r="AC108" s="36"/>
      <c r="AD108" s="36"/>
    </row>
    <row r="109" spans="1:30" ht="21" x14ac:dyDescent="0.3">
      <c r="A109" s="73"/>
      <c r="B109" s="70"/>
      <c r="C109" s="51"/>
      <c r="D109" s="51"/>
      <c r="E109" s="51"/>
      <c r="F109" s="51"/>
      <c r="G109" s="50"/>
      <c r="H109" s="43"/>
      <c r="I109" s="43"/>
      <c r="J109" s="43"/>
      <c r="K109" s="43"/>
      <c r="L109" s="48"/>
      <c r="N109" s="36"/>
      <c r="O109" s="36"/>
      <c r="P109" s="36"/>
      <c r="Q109" s="36"/>
      <c r="R109" s="36"/>
      <c r="S109" s="36"/>
      <c r="T109" s="36"/>
      <c r="U109" s="36"/>
      <c r="V109" s="36"/>
      <c r="W109" s="36"/>
      <c r="X109" s="36"/>
      <c r="Y109" s="36"/>
      <c r="Z109" s="36"/>
      <c r="AA109" s="36"/>
      <c r="AB109" s="36"/>
      <c r="AC109" s="36"/>
      <c r="AD109" s="36"/>
    </row>
    <row r="110" spans="1:30" ht="21" x14ac:dyDescent="0.3">
      <c r="A110" s="73"/>
      <c r="B110" s="70"/>
      <c r="C110" s="51"/>
      <c r="D110" s="51"/>
      <c r="E110" s="51"/>
      <c r="F110" s="51"/>
      <c r="G110" s="50"/>
      <c r="H110" s="43"/>
      <c r="I110" s="43"/>
      <c r="J110" s="43"/>
      <c r="K110" s="43"/>
      <c r="L110" s="48"/>
      <c r="N110" s="36"/>
      <c r="O110" s="36"/>
      <c r="P110" s="36"/>
      <c r="Q110" s="36"/>
      <c r="R110" s="36"/>
      <c r="S110" s="36"/>
      <c r="T110" s="36"/>
      <c r="U110" s="36"/>
      <c r="V110" s="36"/>
      <c r="W110" s="36"/>
      <c r="X110" s="36"/>
      <c r="Y110" s="36"/>
      <c r="Z110" s="36"/>
      <c r="AA110" s="36"/>
      <c r="AB110" s="36"/>
      <c r="AC110" s="36"/>
      <c r="AD110" s="36"/>
    </row>
    <row r="111" spans="1:30" ht="21" x14ac:dyDescent="0.3">
      <c r="A111" s="73"/>
      <c r="B111" s="70"/>
      <c r="C111" s="51"/>
      <c r="D111" s="51"/>
      <c r="E111" s="51"/>
      <c r="F111" s="51"/>
      <c r="G111" s="50"/>
      <c r="H111" s="43"/>
      <c r="I111" s="43"/>
      <c r="J111" s="43"/>
      <c r="K111" s="43"/>
      <c r="L111" s="48"/>
      <c r="N111" s="36"/>
      <c r="O111" s="36"/>
      <c r="P111" s="36"/>
      <c r="Q111" s="36"/>
      <c r="R111" s="36"/>
      <c r="S111" s="36"/>
      <c r="T111" s="36"/>
      <c r="U111" s="36"/>
      <c r="V111" s="36"/>
      <c r="W111" s="36"/>
      <c r="X111" s="36"/>
      <c r="Y111" s="36"/>
      <c r="Z111" s="36"/>
      <c r="AA111" s="36"/>
      <c r="AB111" s="36"/>
      <c r="AC111" s="36"/>
      <c r="AD111" s="36"/>
    </row>
    <row r="112" spans="1:30" ht="21" x14ac:dyDescent="0.3">
      <c r="A112" s="73"/>
      <c r="B112" s="70"/>
      <c r="C112" s="51"/>
      <c r="D112" s="51"/>
      <c r="E112" s="51"/>
      <c r="F112" s="51"/>
      <c r="G112" s="50"/>
      <c r="H112" s="43"/>
      <c r="I112" s="43"/>
      <c r="J112" s="43"/>
      <c r="K112" s="43"/>
      <c r="L112" s="48"/>
      <c r="N112" s="36"/>
      <c r="O112" s="36"/>
      <c r="P112" s="36"/>
      <c r="Q112" s="36"/>
      <c r="R112" s="36"/>
      <c r="S112" s="36"/>
      <c r="T112" s="36"/>
      <c r="U112" s="36"/>
      <c r="V112" s="36"/>
      <c r="W112" s="36"/>
      <c r="X112" s="36"/>
      <c r="Y112" s="36"/>
      <c r="Z112" s="36"/>
      <c r="AA112" s="36"/>
      <c r="AB112" s="36"/>
      <c r="AC112" s="36"/>
      <c r="AD112" s="36"/>
    </row>
    <row r="113" spans="1:30" ht="21" x14ac:dyDescent="0.3">
      <c r="A113" s="73"/>
      <c r="B113" s="70"/>
      <c r="C113" s="51"/>
      <c r="D113" s="51"/>
      <c r="E113" s="51"/>
      <c r="F113" s="51"/>
      <c r="G113" s="50"/>
      <c r="H113" s="43"/>
      <c r="I113" s="43"/>
      <c r="J113" s="43"/>
      <c r="K113" s="43"/>
      <c r="L113" s="48"/>
      <c r="O113" s="36"/>
      <c r="P113" s="36"/>
      <c r="Q113" s="36"/>
      <c r="R113" s="36"/>
      <c r="S113" s="36"/>
      <c r="T113" s="36"/>
      <c r="U113" s="36"/>
      <c r="V113" s="36"/>
      <c r="W113" s="36"/>
      <c r="X113" s="36"/>
      <c r="Y113" s="36"/>
      <c r="Z113" s="36"/>
      <c r="AA113" s="36"/>
      <c r="AB113" s="36"/>
      <c r="AC113" s="36"/>
      <c r="AD113" s="36"/>
    </row>
    <row r="114" spans="1:30" ht="21" x14ac:dyDescent="0.3">
      <c r="A114" s="73"/>
      <c r="B114" s="70"/>
      <c r="C114" s="51"/>
      <c r="D114" s="51"/>
      <c r="E114" s="51"/>
      <c r="F114" s="51"/>
      <c r="G114" s="50"/>
      <c r="H114" s="43"/>
      <c r="I114" s="43"/>
      <c r="J114" s="43"/>
      <c r="K114" s="43"/>
      <c r="L114" s="48"/>
      <c r="O114" s="36"/>
      <c r="P114" s="36"/>
      <c r="Q114" s="36"/>
      <c r="R114" s="36"/>
      <c r="S114" s="36"/>
      <c r="T114" s="36"/>
      <c r="U114" s="36"/>
      <c r="V114" s="36"/>
      <c r="W114" s="36"/>
      <c r="X114" s="36"/>
      <c r="Y114" s="36"/>
      <c r="Z114" s="36"/>
      <c r="AA114" s="36"/>
      <c r="AB114" s="36"/>
      <c r="AC114" s="36"/>
      <c r="AD114" s="36"/>
    </row>
    <row r="115" spans="1:30" ht="21" x14ac:dyDescent="0.3">
      <c r="A115" s="73"/>
      <c r="B115" s="70"/>
      <c r="C115" s="51"/>
      <c r="D115" s="51"/>
      <c r="E115" s="51"/>
      <c r="F115" s="51"/>
      <c r="G115" s="50"/>
      <c r="H115" s="43"/>
      <c r="I115" s="43"/>
      <c r="J115" s="43"/>
      <c r="K115" s="43"/>
      <c r="L115" s="48"/>
      <c r="O115" s="36"/>
      <c r="P115" s="36"/>
      <c r="Q115" s="36"/>
      <c r="R115" s="36"/>
      <c r="S115" s="36"/>
      <c r="T115" s="36"/>
      <c r="U115" s="36"/>
      <c r="V115" s="36"/>
      <c r="W115" s="36"/>
      <c r="X115" s="36"/>
      <c r="Y115" s="36"/>
      <c r="Z115" s="36"/>
      <c r="AA115" s="36"/>
      <c r="AB115" s="36"/>
      <c r="AC115" s="36"/>
      <c r="AD115" s="36"/>
    </row>
    <row r="116" spans="1:30" ht="21" x14ac:dyDescent="0.3">
      <c r="A116" s="73"/>
      <c r="B116" s="70"/>
      <c r="C116" s="51"/>
      <c r="D116" s="51"/>
      <c r="E116" s="51"/>
      <c r="F116" s="51"/>
      <c r="G116" s="50"/>
      <c r="H116" s="43"/>
      <c r="I116" s="43"/>
      <c r="J116" s="43"/>
      <c r="K116" s="43"/>
      <c r="L116" s="48"/>
    </row>
    <row r="117" spans="1:30" ht="21" x14ac:dyDescent="0.3">
      <c r="A117" s="73"/>
      <c r="B117" s="70"/>
      <c r="C117" s="51"/>
      <c r="D117" s="51"/>
      <c r="E117" s="51"/>
      <c r="F117" s="51"/>
      <c r="G117" s="50"/>
      <c r="H117" s="43"/>
      <c r="I117" s="43"/>
      <c r="J117" s="43"/>
      <c r="K117" s="43"/>
      <c r="L117" s="48"/>
    </row>
    <row r="118" spans="1:30" ht="21" x14ac:dyDescent="0.3">
      <c r="A118" s="73"/>
      <c r="B118" s="70"/>
      <c r="C118" s="51"/>
      <c r="D118" s="51"/>
      <c r="E118" s="51"/>
      <c r="F118" s="51"/>
      <c r="G118" s="50"/>
      <c r="H118" s="43"/>
      <c r="I118" s="43"/>
      <c r="J118" s="43"/>
      <c r="K118" s="43"/>
      <c r="L118" s="48"/>
    </row>
    <row r="119" spans="1:30" ht="21" x14ac:dyDescent="0.3">
      <c r="A119" s="73"/>
      <c r="B119" s="70"/>
      <c r="C119" s="51"/>
      <c r="D119" s="51"/>
      <c r="E119" s="51"/>
      <c r="F119" s="51"/>
      <c r="G119" s="50"/>
      <c r="H119" s="43"/>
      <c r="I119" s="43"/>
      <c r="J119" s="43"/>
      <c r="K119" s="43"/>
      <c r="L119" s="48"/>
    </row>
    <row r="120" spans="1:30" ht="21" x14ac:dyDescent="0.3">
      <c r="A120" s="73"/>
      <c r="B120" s="70"/>
      <c r="C120" s="51"/>
      <c r="D120" s="51"/>
      <c r="E120" s="51"/>
      <c r="F120" s="51"/>
      <c r="G120" s="50"/>
      <c r="H120" s="43"/>
      <c r="I120" s="43"/>
      <c r="J120" s="43"/>
      <c r="K120" s="43"/>
      <c r="L120" s="48"/>
    </row>
    <row r="121" spans="1:30" ht="21" x14ac:dyDescent="0.3">
      <c r="A121" s="73"/>
      <c r="B121" s="70"/>
      <c r="C121" s="51"/>
      <c r="D121" s="51"/>
      <c r="E121" s="51"/>
      <c r="F121" s="51"/>
      <c r="G121" s="50"/>
      <c r="H121" s="43"/>
      <c r="I121" s="43"/>
      <c r="J121" s="43"/>
      <c r="K121" s="43"/>
      <c r="L121" s="48"/>
    </row>
    <row r="122" spans="1:30" ht="21" x14ac:dyDescent="0.3">
      <c r="A122" s="73"/>
      <c r="B122" s="70"/>
      <c r="C122" s="51"/>
      <c r="D122" s="51"/>
      <c r="E122" s="51"/>
      <c r="F122" s="51"/>
      <c r="G122" s="50"/>
      <c r="H122" s="43"/>
      <c r="I122" s="43"/>
      <c r="J122" s="43"/>
      <c r="K122" s="43"/>
      <c r="L122" s="48"/>
    </row>
    <row r="123" spans="1:30" ht="21" x14ac:dyDescent="0.3">
      <c r="A123" s="73"/>
      <c r="B123" s="70"/>
      <c r="C123" s="51"/>
      <c r="D123" s="51"/>
      <c r="E123" s="51"/>
      <c r="F123" s="51"/>
      <c r="G123" s="50"/>
      <c r="H123" s="43"/>
      <c r="I123" s="43"/>
      <c r="J123" s="43"/>
      <c r="K123" s="43"/>
      <c r="L123" s="48"/>
    </row>
    <row r="124" spans="1:30" ht="21" x14ac:dyDescent="0.3">
      <c r="A124" s="73"/>
      <c r="B124" s="70"/>
      <c r="C124" s="51"/>
      <c r="D124" s="51"/>
      <c r="E124" s="51"/>
      <c r="F124" s="51"/>
      <c r="G124" s="50"/>
      <c r="H124" s="43"/>
      <c r="I124" s="43"/>
      <c r="J124" s="43"/>
      <c r="K124" s="43"/>
      <c r="L124" s="48"/>
    </row>
    <row r="125" spans="1:30" ht="21" x14ac:dyDescent="0.3">
      <c r="A125" s="73"/>
      <c r="B125" s="70"/>
      <c r="C125" s="51"/>
      <c r="D125" s="51"/>
      <c r="E125" s="51"/>
      <c r="F125" s="51"/>
      <c r="G125" s="50"/>
      <c r="H125" s="43"/>
      <c r="I125" s="43"/>
      <c r="J125" s="43"/>
      <c r="K125" s="43"/>
      <c r="L125" s="48"/>
    </row>
    <row r="126" spans="1:30" ht="21" x14ac:dyDescent="0.3">
      <c r="A126" s="73"/>
      <c r="B126" s="70"/>
      <c r="C126" s="51"/>
      <c r="D126" s="51"/>
      <c r="E126" s="51"/>
      <c r="F126" s="51"/>
      <c r="G126" s="50"/>
      <c r="H126" s="43"/>
      <c r="I126" s="43"/>
      <c r="J126" s="43"/>
      <c r="K126" s="43"/>
      <c r="L126" s="48"/>
    </row>
    <row r="127" spans="1:30" ht="21" x14ac:dyDescent="0.3">
      <c r="A127" s="73"/>
      <c r="B127" s="70"/>
      <c r="C127" s="51"/>
      <c r="D127" s="51"/>
      <c r="E127" s="51"/>
      <c r="F127" s="51"/>
      <c r="G127" s="50"/>
      <c r="H127" s="43"/>
      <c r="I127" s="43"/>
      <c r="J127" s="43"/>
      <c r="K127" s="43"/>
      <c r="L127" s="48"/>
    </row>
    <row r="128" spans="1:30" ht="21" x14ac:dyDescent="0.3">
      <c r="A128" s="73"/>
      <c r="B128" s="70"/>
      <c r="C128" s="51"/>
      <c r="D128" s="51"/>
      <c r="E128" s="51"/>
      <c r="F128" s="51"/>
      <c r="G128" s="50"/>
      <c r="H128" s="43"/>
      <c r="I128" s="43"/>
      <c r="J128" s="43"/>
      <c r="K128" s="43"/>
      <c r="L128" s="48"/>
    </row>
    <row r="129" spans="1:12" ht="21" x14ac:dyDescent="0.3">
      <c r="A129" s="73"/>
      <c r="B129" s="70"/>
      <c r="C129" s="51"/>
      <c r="D129" s="51"/>
      <c r="E129" s="51"/>
      <c r="F129" s="51"/>
      <c r="G129" s="50"/>
      <c r="H129" s="43"/>
      <c r="I129" s="43"/>
      <c r="J129" s="43"/>
      <c r="K129" s="43"/>
      <c r="L129" s="48"/>
    </row>
    <row r="130" spans="1:12" ht="21" x14ac:dyDescent="0.3">
      <c r="A130" s="73"/>
      <c r="B130" s="70"/>
      <c r="C130" s="51"/>
      <c r="D130" s="51"/>
      <c r="E130" s="51"/>
      <c r="F130" s="51"/>
      <c r="G130" s="50"/>
      <c r="H130" s="43"/>
      <c r="I130" s="43"/>
      <c r="J130" s="43"/>
      <c r="K130" s="43"/>
      <c r="L130" s="48"/>
    </row>
    <row r="131" spans="1:12" ht="21" x14ac:dyDescent="0.3">
      <c r="A131" s="73"/>
      <c r="B131" s="70"/>
      <c r="C131" s="51"/>
      <c r="D131" s="51"/>
      <c r="E131" s="51"/>
      <c r="F131" s="51"/>
      <c r="G131" s="50"/>
      <c r="H131" s="43"/>
      <c r="I131" s="43"/>
      <c r="J131" s="43"/>
      <c r="K131" s="43"/>
      <c r="L131" s="48"/>
    </row>
    <row r="132" spans="1:12" ht="21" x14ac:dyDescent="0.3">
      <c r="A132" s="73"/>
      <c r="B132" s="70"/>
      <c r="C132" s="51"/>
      <c r="D132" s="51"/>
      <c r="E132" s="51"/>
      <c r="F132" s="51"/>
      <c r="G132" s="50"/>
      <c r="H132" s="43"/>
      <c r="I132" s="43"/>
      <c r="J132" s="43"/>
      <c r="K132" s="43"/>
      <c r="L132" s="48"/>
    </row>
    <row r="133" spans="1:12" ht="21" x14ac:dyDescent="0.3">
      <c r="A133" s="73"/>
      <c r="B133" s="70"/>
      <c r="C133" s="51"/>
      <c r="D133" s="51"/>
      <c r="E133" s="51"/>
      <c r="F133" s="51"/>
      <c r="G133" s="50"/>
      <c r="H133" s="43"/>
      <c r="I133" s="43"/>
      <c r="J133" s="43"/>
      <c r="K133" s="43"/>
      <c r="L133" s="48"/>
    </row>
    <row r="134" spans="1:12" ht="21" x14ac:dyDescent="0.3">
      <c r="A134" s="73"/>
      <c r="B134" s="70"/>
      <c r="C134" s="51"/>
      <c r="D134" s="51"/>
      <c r="E134" s="51"/>
      <c r="F134" s="51"/>
      <c r="G134" s="50"/>
      <c r="H134" s="43"/>
      <c r="I134" s="43"/>
      <c r="J134" s="43"/>
      <c r="K134" s="43"/>
      <c r="L134" s="48"/>
    </row>
    <row r="135" spans="1:12" ht="21" x14ac:dyDescent="0.3">
      <c r="A135" s="73"/>
      <c r="B135" s="70"/>
      <c r="C135" s="51"/>
      <c r="D135" s="51"/>
      <c r="E135" s="51"/>
      <c r="F135" s="51"/>
      <c r="G135" s="50"/>
      <c r="H135" s="43"/>
      <c r="I135" s="43"/>
      <c r="J135" s="43"/>
      <c r="K135" s="43"/>
      <c r="L135" s="48"/>
    </row>
    <row r="136" spans="1:12" ht="21" x14ac:dyDescent="0.3">
      <c r="A136" s="73"/>
      <c r="B136" s="70"/>
      <c r="C136" s="51"/>
      <c r="D136" s="51"/>
      <c r="E136" s="51"/>
      <c r="F136" s="51"/>
      <c r="G136" s="50"/>
      <c r="H136" s="43"/>
      <c r="I136" s="43"/>
      <c r="J136" s="43"/>
      <c r="K136" s="43"/>
      <c r="L136" s="48"/>
    </row>
    <row r="137" spans="1:12" ht="21" x14ac:dyDescent="0.3">
      <c r="A137" s="73"/>
      <c r="B137" s="70"/>
      <c r="C137" s="51"/>
      <c r="D137" s="51"/>
      <c r="E137" s="51"/>
      <c r="F137" s="51"/>
      <c r="G137" s="50"/>
      <c r="H137" s="43"/>
      <c r="I137" s="43"/>
      <c r="J137" s="43"/>
      <c r="K137" s="43"/>
      <c r="L137" s="48"/>
    </row>
    <row r="138" spans="1:12" ht="21" x14ac:dyDescent="0.3">
      <c r="A138" s="73"/>
      <c r="B138" s="70"/>
      <c r="C138" s="51"/>
      <c r="D138" s="51"/>
      <c r="E138" s="51"/>
      <c r="F138" s="51"/>
      <c r="G138" s="50"/>
      <c r="H138" s="43"/>
      <c r="I138" s="43"/>
      <c r="J138" s="43"/>
      <c r="K138" s="43"/>
      <c r="L138" s="48"/>
    </row>
    <row r="139" spans="1:12" ht="21" x14ac:dyDescent="0.3">
      <c r="A139" s="73"/>
      <c r="B139" s="70"/>
      <c r="C139" s="51"/>
      <c r="D139" s="51"/>
      <c r="E139" s="51"/>
      <c r="F139" s="51"/>
      <c r="G139" s="50"/>
      <c r="H139" s="43"/>
      <c r="I139" s="43"/>
      <c r="J139" s="43"/>
      <c r="K139" s="43"/>
      <c r="L139" s="48"/>
    </row>
    <row r="140" spans="1:12" ht="21" x14ac:dyDescent="0.3">
      <c r="A140" s="73"/>
      <c r="B140" s="70"/>
      <c r="C140" s="51"/>
      <c r="D140" s="51"/>
      <c r="E140" s="51"/>
      <c r="F140" s="51"/>
      <c r="G140" s="50"/>
      <c r="H140" s="43"/>
      <c r="I140" s="43"/>
      <c r="J140" s="43"/>
      <c r="K140" s="43"/>
      <c r="L140" s="48"/>
    </row>
    <row r="141" spans="1:12" ht="21" x14ac:dyDescent="0.3">
      <c r="A141" s="73"/>
      <c r="B141" s="70"/>
      <c r="C141" s="51"/>
      <c r="D141" s="51"/>
      <c r="E141" s="51"/>
      <c r="F141" s="51"/>
      <c r="G141" s="50"/>
      <c r="H141" s="43"/>
      <c r="I141" s="43"/>
      <c r="J141" s="43"/>
      <c r="K141" s="43"/>
      <c r="L141" s="48"/>
    </row>
    <row r="142" spans="1:12" ht="21" x14ac:dyDescent="0.3">
      <c r="A142" s="73"/>
      <c r="B142" s="70"/>
      <c r="C142" s="51"/>
      <c r="D142" s="51"/>
      <c r="E142" s="51"/>
      <c r="F142" s="51"/>
      <c r="G142" s="50"/>
      <c r="H142" s="43"/>
      <c r="I142" s="43"/>
      <c r="J142" s="43"/>
      <c r="K142" s="43"/>
      <c r="L142" s="48"/>
    </row>
    <row r="143" spans="1:12" ht="21" x14ac:dyDescent="0.3">
      <c r="A143" s="73"/>
      <c r="B143" s="70"/>
      <c r="C143" s="51"/>
      <c r="D143" s="51"/>
      <c r="E143" s="51"/>
      <c r="F143" s="51"/>
      <c r="G143" s="50"/>
      <c r="H143" s="43"/>
      <c r="I143" s="43"/>
      <c r="J143" s="43"/>
      <c r="K143" s="43"/>
      <c r="L143" s="48"/>
    </row>
    <row r="144" spans="1:12" ht="21" x14ac:dyDescent="0.3">
      <c r="A144" s="73"/>
      <c r="B144" s="70"/>
      <c r="C144" s="51"/>
      <c r="D144" s="51"/>
      <c r="E144" s="51"/>
      <c r="F144" s="51"/>
      <c r="G144" s="50"/>
      <c r="H144" s="43"/>
      <c r="I144" s="43"/>
      <c r="J144" s="43"/>
      <c r="K144" s="43"/>
      <c r="L144" s="48"/>
    </row>
    <row r="145" spans="1:12" ht="21" x14ac:dyDescent="0.3">
      <c r="A145" s="73"/>
      <c r="B145" s="70"/>
      <c r="C145" s="51"/>
      <c r="D145" s="51"/>
      <c r="E145" s="51"/>
      <c r="F145" s="51"/>
      <c r="G145" s="50"/>
      <c r="H145" s="43"/>
      <c r="I145" s="43"/>
      <c r="J145" s="43"/>
      <c r="K145" s="43"/>
      <c r="L145" s="48"/>
    </row>
    <row r="146" spans="1:12" ht="21" x14ac:dyDescent="0.3">
      <c r="A146" s="73"/>
      <c r="B146" s="70"/>
      <c r="C146" s="51"/>
      <c r="D146" s="51"/>
      <c r="E146" s="51"/>
      <c r="F146" s="51"/>
      <c r="G146" s="50"/>
      <c r="H146" s="43"/>
      <c r="I146" s="43"/>
      <c r="J146" s="43"/>
      <c r="K146" s="43"/>
      <c r="L146" s="48"/>
    </row>
    <row r="147" spans="1:12" ht="21" x14ac:dyDescent="0.3">
      <c r="A147" s="73"/>
      <c r="B147" s="70"/>
      <c r="C147" s="51"/>
      <c r="D147" s="51"/>
      <c r="E147" s="51"/>
      <c r="F147" s="51"/>
      <c r="G147" s="50"/>
      <c r="H147" s="43"/>
      <c r="I147" s="43"/>
      <c r="J147" s="43"/>
      <c r="K147" s="43"/>
      <c r="L147" s="48"/>
    </row>
    <row r="148" spans="1:12" ht="21" x14ac:dyDescent="0.3">
      <c r="A148" s="73"/>
      <c r="B148" s="70"/>
      <c r="C148" s="51"/>
      <c r="D148" s="51"/>
      <c r="E148" s="51"/>
      <c r="F148" s="51"/>
      <c r="G148" s="50"/>
      <c r="H148" s="43"/>
      <c r="I148" s="43"/>
      <c r="J148" s="43"/>
      <c r="K148" s="43"/>
      <c r="L148" s="48"/>
    </row>
    <row r="149" spans="1:12" ht="21" x14ac:dyDescent="0.3">
      <c r="A149" s="73"/>
      <c r="B149" s="70"/>
      <c r="C149" s="51"/>
      <c r="D149" s="51"/>
      <c r="E149" s="51"/>
      <c r="F149" s="51"/>
      <c r="G149" s="50"/>
      <c r="H149" s="43"/>
      <c r="I149" s="43"/>
      <c r="J149" s="43"/>
      <c r="K149" s="43"/>
      <c r="L149" s="48"/>
    </row>
    <row r="150" spans="1:12" ht="21" x14ac:dyDescent="0.3">
      <c r="A150" s="73"/>
      <c r="B150" s="70"/>
      <c r="C150" s="51"/>
      <c r="D150" s="51"/>
      <c r="E150" s="51"/>
      <c r="F150" s="51"/>
      <c r="G150" s="50"/>
      <c r="H150" s="43"/>
      <c r="I150" s="43"/>
      <c r="J150" s="43"/>
      <c r="K150" s="43"/>
      <c r="L150" s="48"/>
    </row>
    <row r="151" spans="1:12" ht="21" x14ac:dyDescent="0.3">
      <c r="A151" s="73"/>
      <c r="B151" s="70"/>
      <c r="C151" s="51"/>
      <c r="D151" s="51"/>
      <c r="E151" s="51"/>
      <c r="F151" s="51"/>
      <c r="G151" s="50"/>
      <c r="H151" s="43"/>
      <c r="I151" s="43"/>
      <c r="J151" s="43"/>
      <c r="K151" s="43"/>
      <c r="L151" s="48"/>
    </row>
    <row r="152" spans="1:12" ht="21" x14ac:dyDescent="0.3">
      <c r="A152" s="73"/>
      <c r="B152" s="70"/>
      <c r="C152" s="51"/>
      <c r="D152" s="51"/>
      <c r="E152" s="51"/>
      <c r="F152" s="51"/>
      <c r="G152" s="50"/>
      <c r="H152" s="43"/>
      <c r="I152" s="43"/>
      <c r="J152" s="43"/>
      <c r="K152" s="43"/>
      <c r="L152" s="48"/>
    </row>
    <row r="153" spans="1:12" ht="21" x14ac:dyDescent="0.3">
      <c r="A153" s="73"/>
      <c r="B153" s="70"/>
      <c r="C153" s="51"/>
      <c r="D153" s="51"/>
      <c r="E153" s="51"/>
      <c r="F153" s="51"/>
      <c r="G153" s="50"/>
      <c r="H153" s="43"/>
      <c r="I153" s="43"/>
      <c r="J153" s="43"/>
      <c r="K153" s="43"/>
      <c r="L153" s="48"/>
    </row>
    <row r="154" spans="1:12" ht="21" x14ac:dyDescent="0.3">
      <c r="A154" s="73"/>
      <c r="B154" s="70"/>
      <c r="C154" s="51"/>
      <c r="D154" s="51"/>
      <c r="E154" s="51"/>
      <c r="F154" s="51"/>
      <c r="G154" s="50"/>
      <c r="H154" s="43"/>
      <c r="I154" s="43"/>
      <c r="J154" s="43"/>
      <c r="K154" s="43"/>
      <c r="L154" s="48"/>
    </row>
    <row r="155" spans="1:12" ht="21" x14ac:dyDescent="0.3">
      <c r="A155" s="73"/>
      <c r="B155" s="70"/>
      <c r="C155" s="51"/>
      <c r="D155" s="51"/>
      <c r="E155" s="51"/>
      <c r="F155" s="51"/>
      <c r="G155" s="50"/>
      <c r="H155" s="43"/>
      <c r="I155" s="43"/>
      <c r="J155" s="43"/>
      <c r="K155" s="43"/>
      <c r="L155" s="48"/>
    </row>
    <row r="156" spans="1:12" ht="21" x14ac:dyDescent="0.3">
      <c r="A156" s="73"/>
      <c r="B156" s="70"/>
      <c r="C156" s="51"/>
      <c r="D156" s="51"/>
      <c r="E156" s="51"/>
      <c r="F156" s="51"/>
      <c r="G156" s="50"/>
      <c r="H156" s="43"/>
      <c r="I156" s="43"/>
      <c r="J156" s="43"/>
      <c r="K156" s="43"/>
      <c r="L156" s="48"/>
    </row>
    <row r="157" spans="1:12" ht="21" x14ac:dyDescent="0.3">
      <c r="A157" s="73"/>
      <c r="B157" s="70"/>
      <c r="C157" s="51"/>
      <c r="D157" s="51"/>
      <c r="E157" s="51"/>
      <c r="F157" s="51"/>
      <c r="G157" s="50"/>
      <c r="H157" s="43"/>
      <c r="I157" s="43"/>
      <c r="J157" s="43"/>
      <c r="K157" s="43"/>
      <c r="L157" s="48"/>
    </row>
    <row r="158" spans="1:12" ht="21" x14ac:dyDescent="0.3">
      <c r="A158" s="73"/>
      <c r="B158" s="70"/>
      <c r="C158" s="51"/>
      <c r="D158" s="51"/>
      <c r="E158" s="51"/>
      <c r="F158" s="51"/>
      <c r="G158" s="50"/>
      <c r="H158" s="43"/>
      <c r="I158" s="43"/>
      <c r="J158" s="43"/>
      <c r="K158" s="43"/>
      <c r="L158" s="48"/>
    </row>
    <row r="159" spans="1:12" ht="21" x14ac:dyDescent="0.3">
      <c r="A159" s="73"/>
      <c r="B159" s="70"/>
      <c r="C159" s="51"/>
      <c r="D159" s="51"/>
      <c r="E159" s="51"/>
      <c r="F159" s="51"/>
      <c r="G159" s="50"/>
      <c r="H159" s="43"/>
      <c r="I159" s="43"/>
      <c r="J159" s="43"/>
      <c r="K159" s="43"/>
      <c r="L159" s="48"/>
    </row>
    <row r="160" spans="1:12" ht="378" x14ac:dyDescent="0.4">
      <c r="A160" s="602" t="s">
        <v>2444</v>
      </c>
      <c r="B160" s="34" t="s">
        <v>2445</v>
      </c>
      <c r="C160" s="74"/>
      <c r="D160" s="74"/>
      <c r="E160" s="48" t="s">
        <v>2446</v>
      </c>
      <c r="F160" s="48" t="s">
        <v>2447</v>
      </c>
      <c r="G160" s="50" t="s">
        <v>2448</v>
      </c>
      <c r="H160" s="48" t="s">
        <v>2449</v>
      </c>
      <c r="I160" s="48" t="s">
        <v>2450</v>
      </c>
      <c r="J160" s="48" t="s">
        <v>2451</v>
      </c>
      <c r="K160" s="48" t="s">
        <v>2452</v>
      </c>
      <c r="L160" s="48" t="s">
        <v>2453</v>
      </c>
    </row>
    <row r="161" spans="1:12" ht="147" x14ac:dyDescent="0.4">
      <c r="A161" s="603"/>
      <c r="B161" s="609" t="s">
        <v>2454</v>
      </c>
      <c r="C161" s="74"/>
      <c r="D161" s="601" t="s">
        <v>2455</v>
      </c>
      <c r="E161" s="48" t="s">
        <v>2456</v>
      </c>
      <c r="F161" s="52" t="s">
        <v>2457</v>
      </c>
      <c r="G161" s="50"/>
      <c r="H161" s="47" t="s">
        <v>2458</v>
      </c>
      <c r="I161" s="48"/>
      <c r="J161" s="48" t="s">
        <v>2459</v>
      </c>
      <c r="K161" s="75" t="s">
        <v>2460</v>
      </c>
      <c r="L161" s="75" t="s">
        <v>2461</v>
      </c>
    </row>
    <row r="162" spans="1:12" ht="126" x14ac:dyDescent="0.4">
      <c r="A162" s="603"/>
      <c r="B162" s="608"/>
      <c r="C162" s="74"/>
      <c r="D162" s="601"/>
      <c r="E162" s="51" t="s">
        <v>2462</v>
      </c>
      <c r="F162" s="52" t="s">
        <v>2463</v>
      </c>
      <c r="G162" s="50"/>
      <c r="H162" s="48" t="s">
        <v>2464</v>
      </c>
      <c r="I162" s="48"/>
      <c r="J162" s="48" t="s">
        <v>2465</v>
      </c>
      <c r="K162" s="75" t="s">
        <v>2466</v>
      </c>
      <c r="L162" s="48" t="s">
        <v>2467</v>
      </c>
    </row>
    <row r="163" spans="1:12" ht="105" x14ac:dyDescent="0.4">
      <c r="A163" s="603"/>
      <c r="B163" s="610"/>
      <c r="C163" s="74"/>
      <c r="D163" s="601"/>
      <c r="E163" s="48" t="s">
        <v>2468</v>
      </c>
      <c r="F163" s="52" t="s">
        <v>2469</v>
      </c>
      <c r="G163" s="50"/>
      <c r="H163" s="47" t="s">
        <v>2470</v>
      </c>
      <c r="I163" s="48"/>
      <c r="J163" s="76"/>
      <c r="K163" s="76"/>
      <c r="L163" s="76"/>
    </row>
    <row r="164" spans="1:12" ht="294" x14ac:dyDescent="0.4">
      <c r="A164" s="603"/>
      <c r="B164" s="609" t="str">
        <f>B161</f>
        <v>Mesures d'adaptation</v>
      </c>
      <c r="C164" s="52"/>
      <c r="D164" s="607" t="s">
        <v>2471</v>
      </c>
      <c r="E164" s="48"/>
      <c r="F164" s="26" t="s">
        <v>2472</v>
      </c>
      <c r="G164" s="50"/>
      <c r="H164" s="47" t="s">
        <v>2473</v>
      </c>
      <c r="I164" s="48" t="s">
        <v>2474</v>
      </c>
      <c r="J164" s="75" t="s">
        <v>2475</v>
      </c>
      <c r="K164" s="75" t="s">
        <v>2476</v>
      </c>
      <c r="L164" s="48" t="s">
        <v>2477</v>
      </c>
    </row>
    <row r="165" spans="1:12" ht="126" x14ac:dyDescent="0.4">
      <c r="A165" s="603"/>
      <c r="B165" s="608"/>
      <c r="C165" s="52"/>
      <c r="D165" s="607"/>
      <c r="E165" s="48" t="s">
        <v>2478</v>
      </c>
      <c r="F165" s="52" t="s">
        <v>2479</v>
      </c>
      <c r="G165" s="50"/>
      <c r="H165" s="47" t="s">
        <v>2480</v>
      </c>
      <c r="I165" s="51" t="s">
        <v>2481</v>
      </c>
      <c r="J165" s="75" t="s">
        <v>2482</v>
      </c>
      <c r="K165" s="48" t="s">
        <v>2483</v>
      </c>
      <c r="L165" s="75" t="s">
        <v>2484</v>
      </c>
    </row>
    <row r="166" spans="1:12" ht="63" x14ac:dyDescent="0.4">
      <c r="A166" s="603"/>
      <c r="B166" s="608"/>
      <c r="C166" s="52"/>
      <c r="D166" s="607"/>
      <c r="E166" s="51"/>
      <c r="F166" s="52"/>
      <c r="G166" s="50"/>
      <c r="H166" s="48" t="s">
        <v>2485</v>
      </c>
      <c r="I166" s="48"/>
      <c r="J166" s="75" t="s">
        <v>2486</v>
      </c>
      <c r="K166" s="48" t="s">
        <v>2487</v>
      </c>
      <c r="L166" s="48"/>
    </row>
    <row r="167" spans="1:12" ht="84" x14ac:dyDescent="0.4">
      <c r="A167" s="603"/>
      <c r="B167" s="608"/>
      <c r="C167" s="52"/>
      <c r="D167" s="607"/>
      <c r="E167" s="51"/>
      <c r="F167" s="52"/>
      <c r="G167" s="50"/>
      <c r="H167" s="47" t="s">
        <v>2488</v>
      </c>
      <c r="I167" s="48"/>
      <c r="J167" s="48" t="s">
        <v>2489</v>
      </c>
      <c r="K167" s="75" t="s">
        <v>2490</v>
      </c>
      <c r="L167" s="48" t="s">
        <v>2465</v>
      </c>
    </row>
    <row r="168" spans="1:12" ht="42" x14ac:dyDescent="0.4">
      <c r="A168" s="603"/>
      <c r="B168" s="608"/>
      <c r="C168" s="52"/>
      <c r="D168" s="607"/>
      <c r="E168" s="51"/>
      <c r="F168" s="52"/>
      <c r="G168" s="50"/>
      <c r="H168" s="48" t="s">
        <v>2491</v>
      </c>
      <c r="I168" s="48"/>
      <c r="J168" s="48" t="s">
        <v>2492</v>
      </c>
      <c r="K168" s="48" t="s">
        <v>2465</v>
      </c>
      <c r="L168" s="48" t="s">
        <v>2465</v>
      </c>
    </row>
    <row r="169" spans="1:12" ht="147" x14ac:dyDescent="0.4">
      <c r="A169" s="603"/>
      <c r="B169" s="610"/>
      <c r="C169" s="52"/>
      <c r="D169" s="607"/>
      <c r="E169" s="51" t="s">
        <v>2493</v>
      </c>
      <c r="F169" s="52"/>
      <c r="G169" s="50"/>
      <c r="H169" s="48" t="s">
        <v>2494</v>
      </c>
      <c r="I169" s="51"/>
      <c r="J169" s="48" t="s">
        <v>2465</v>
      </c>
      <c r="K169" s="48" t="s">
        <v>2465</v>
      </c>
      <c r="L169" s="48" t="s">
        <v>2465</v>
      </c>
    </row>
    <row r="170" spans="1:12" ht="105" x14ac:dyDescent="0.4">
      <c r="A170" s="603"/>
      <c r="B170" s="609" t="str">
        <f>B164</f>
        <v>Mesures d'adaptation</v>
      </c>
      <c r="C170" s="74"/>
      <c r="D170" s="605" t="s">
        <v>2495</v>
      </c>
      <c r="E170" s="48"/>
      <c r="F170" s="26" t="s">
        <v>2496</v>
      </c>
      <c r="G170" s="45" t="s">
        <v>2497</v>
      </c>
      <c r="H170" s="48" t="s">
        <v>2498</v>
      </c>
      <c r="I170" s="47" t="s">
        <v>2499</v>
      </c>
      <c r="J170" s="75" t="s">
        <v>2500</v>
      </c>
      <c r="K170" s="48" t="s">
        <v>2465</v>
      </c>
      <c r="L170" s="48" t="s">
        <v>2501</v>
      </c>
    </row>
    <row r="171" spans="1:12" ht="63" x14ac:dyDescent="0.4">
      <c r="A171" s="603"/>
      <c r="B171" s="608"/>
      <c r="C171" s="74"/>
      <c r="D171" s="605"/>
      <c r="E171" s="48"/>
      <c r="F171" s="26"/>
      <c r="G171" s="45" t="s">
        <v>2502</v>
      </c>
      <c r="H171" s="48" t="s">
        <v>2503</v>
      </c>
      <c r="I171" s="47" t="s">
        <v>2504</v>
      </c>
      <c r="J171" s="48" t="s">
        <v>2465</v>
      </c>
      <c r="K171" s="48" t="s">
        <v>2465</v>
      </c>
      <c r="L171" s="75" t="s">
        <v>2505</v>
      </c>
    </row>
    <row r="172" spans="1:12" ht="126" x14ac:dyDescent="0.4">
      <c r="A172" s="603"/>
      <c r="B172" s="608"/>
      <c r="C172" s="74"/>
      <c r="D172" s="606" t="s">
        <v>2506</v>
      </c>
      <c r="E172" s="51" t="s">
        <v>2507</v>
      </c>
      <c r="F172" s="26" t="s">
        <v>2508</v>
      </c>
      <c r="G172" s="51" t="s">
        <v>2509</v>
      </c>
      <c r="H172" s="48" t="s">
        <v>2510</v>
      </c>
      <c r="I172" s="47" t="s">
        <v>2511</v>
      </c>
      <c r="J172" s="75" t="s">
        <v>2512</v>
      </c>
      <c r="K172" s="75" t="s">
        <v>2513</v>
      </c>
      <c r="L172" s="75" t="s">
        <v>2514</v>
      </c>
    </row>
    <row r="173" spans="1:12" ht="126" x14ac:dyDescent="0.4">
      <c r="A173" s="603"/>
      <c r="B173" s="608"/>
      <c r="C173" s="74"/>
      <c r="D173" s="606"/>
      <c r="E173" s="51"/>
      <c r="F173" s="25"/>
      <c r="G173" s="55" t="s">
        <v>2515</v>
      </c>
      <c r="H173" s="47" t="s">
        <v>2516</v>
      </c>
      <c r="I173" s="48" t="s">
        <v>2517</v>
      </c>
      <c r="J173" s="75" t="s">
        <v>2518</v>
      </c>
      <c r="K173" s="48" t="s">
        <v>2519</v>
      </c>
      <c r="L173" s="48" t="s">
        <v>2520</v>
      </c>
    </row>
    <row r="174" spans="1:12" ht="42" x14ac:dyDescent="0.4">
      <c r="A174" s="603"/>
      <c r="B174" s="608"/>
      <c r="C174" s="74"/>
      <c r="D174" s="606"/>
      <c r="E174" s="51"/>
      <c r="F174" s="25"/>
      <c r="G174" s="55"/>
      <c r="H174" s="47"/>
      <c r="I174" s="48"/>
      <c r="J174" s="48" t="s">
        <v>2465</v>
      </c>
      <c r="K174" s="75" t="s">
        <v>2521</v>
      </c>
      <c r="L174" s="48" t="s">
        <v>2465</v>
      </c>
    </row>
    <row r="175" spans="1:12" ht="42" x14ac:dyDescent="0.4">
      <c r="A175" s="603"/>
      <c r="B175" s="608"/>
      <c r="C175" s="74"/>
      <c r="D175" s="606"/>
      <c r="E175" s="51"/>
      <c r="F175" s="25"/>
      <c r="G175" s="55"/>
      <c r="H175" s="47"/>
      <c r="I175" s="48"/>
      <c r="J175" s="48" t="s">
        <v>2465</v>
      </c>
      <c r="K175" s="48" t="s">
        <v>2522</v>
      </c>
      <c r="L175" s="48" t="s">
        <v>2465</v>
      </c>
    </row>
    <row r="176" spans="1:12" ht="126" x14ac:dyDescent="0.4">
      <c r="A176" s="603"/>
      <c r="B176" s="608"/>
      <c r="C176" s="74"/>
      <c r="D176" s="606"/>
      <c r="E176" s="51"/>
      <c r="F176" s="25"/>
      <c r="G176" s="55"/>
      <c r="H176" s="47"/>
      <c r="I176" s="48"/>
      <c r="J176" s="48" t="s">
        <v>2465</v>
      </c>
      <c r="K176" s="75" t="s">
        <v>2523</v>
      </c>
      <c r="L176" s="48" t="s">
        <v>2465</v>
      </c>
    </row>
    <row r="177" spans="1:12" ht="42" x14ac:dyDescent="0.4">
      <c r="A177" s="603"/>
      <c r="B177" s="608"/>
      <c r="C177" s="74"/>
      <c r="D177" s="606"/>
      <c r="E177" s="51"/>
      <c r="F177" s="25"/>
      <c r="G177" s="55"/>
      <c r="H177" s="47"/>
      <c r="I177" s="48"/>
      <c r="J177" s="48"/>
      <c r="K177" s="75" t="s">
        <v>2524</v>
      </c>
      <c r="L177" s="48" t="s">
        <v>2465</v>
      </c>
    </row>
    <row r="178" spans="1:12" ht="189" x14ac:dyDescent="0.4">
      <c r="A178" s="603"/>
      <c r="B178" s="610"/>
      <c r="C178" s="74"/>
      <c r="D178" s="606"/>
      <c r="F178" s="52"/>
      <c r="G178" s="45" t="s">
        <v>2525</v>
      </c>
      <c r="H178" s="47" t="s">
        <v>2526</v>
      </c>
      <c r="I178" s="47" t="s">
        <v>2527</v>
      </c>
      <c r="J178" s="48"/>
      <c r="K178" s="48"/>
      <c r="L178" s="48" t="s">
        <v>2465</v>
      </c>
    </row>
    <row r="179" spans="1:12" ht="26.4" customHeight="1" x14ac:dyDescent="0.4">
      <c r="A179" s="603"/>
      <c r="B179" s="602" t="str">
        <f>B170</f>
        <v>Mesures d'adaptation</v>
      </c>
      <c r="C179" s="77"/>
      <c r="D179" s="78" t="s">
        <v>2417</v>
      </c>
      <c r="E179" s="51" t="s">
        <v>2528</v>
      </c>
      <c r="F179" s="52"/>
      <c r="G179" s="50"/>
      <c r="H179" s="48"/>
      <c r="I179" s="47" t="s">
        <v>2529</v>
      </c>
      <c r="J179" s="48" t="s">
        <v>2465</v>
      </c>
      <c r="K179" s="48" t="s">
        <v>2465</v>
      </c>
      <c r="L179" s="48" t="s">
        <v>2465</v>
      </c>
    </row>
    <row r="180" spans="1:12" ht="21" customHeight="1" x14ac:dyDescent="0.4">
      <c r="A180" s="603"/>
      <c r="B180" s="603"/>
      <c r="C180" s="77"/>
      <c r="D180" s="78" t="s">
        <v>2530</v>
      </c>
      <c r="E180" s="51"/>
      <c r="F180" s="52"/>
      <c r="G180" s="50"/>
      <c r="H180" s="48"/>
      <c r="I180" s="48"/>
      <c r="J180" s="48" t="s">
        <v>2465</v>
      </c>
      <c r="K180" s="48" t="s">
        <v>2465</v>
      </c>
      <c r="L180" s="48" t="s">
        <v>2465</v>
      </c>
    </row>
    <row r="181" spans="1:12" ht="21" customHeight="1" x14ac:dyDescent="0.4">
      <c r="A181" s="603"/>
      <c r="B181" s="603"/>
      <c r="C181" s="77"/>
      <c r="D181" s="78" t="s">
        <v>756</v>
      </c>
      <c r="E181" s="51"/>
      <c r="F181" s="52"/>
      <c r="G181" s="50"/>
      <c r="H181" s="48"/>
      <c r="I181" s="48"/>
      <c r="J181" s="48" t="s">
        <v>2465</v>
      </c>
      <c r="K181" s="48" t="s">
        <v>2465</v>
      </c>
      <c r="L181" s="48" t="s">
        <v>2465</v>
      </c>
    </row>
    <row r="182" spans="1:12" ht="21" customHeight="1" x14ac:dyDescent="0.4">
      <c r="A182" s="603"/>
      <c r="B182" s="603"/>
      <c r="C182" s="77"/>
      <c r="D182" s="78" t="s">
        <v>2531</v>
      </c>
      <c r="E182" s="51"/>
      <c r="F182" s="52"/>
      <c r="G182" s="50"/>
      <c r="H182" s="48"/>
      <c r="I182" s="48"/>
      <c r="J182" s="48" t="s">
        <v>2465</v>
      </c>
      <c r="K182" s="48" t="s">
        <v>2465</v>
      </c>
      <c r="L182" s="48" t="s">
        <v>2465</v>
      </c>
    </row>
    <row r="183" spans="1:12" ht="151.5" customHeight="1" x14ac:dyDescent="0.4">
      <c r="A183" s="603"/>
      <c r="B183" s="603"/>
      <c r="C183" s="77"/>
      <c r="D183" s="78" t="s">
        <v>1804</v>
      </c>
      <c r="E183" s="51"/>
      <c r="F183" s="52"/>
      <c r="G183" s="50"/>
      <c r="H183" s="48"/>
      <c r="I183" s="48"/>
      <c r="J183" s="48" t="s">
        <v>2465</v>
      </c>
      <c r="K183" s="48" t="s">
        <v>2465</v>
      </c>
      <c r="L183" s="75" t="s">
        <v>2532</v>
      </c>
    </row>
    <row r="184" spans="1:12" ht="147" x14ac:dyDescent="0.4">
      <c r="A184" s="603"/>
      <c r="B184" s="603"/>
      <c r="C184" s="77"/>
      <c r="D184" s="78" t="s">
        <v>2533</v>
      </c>
      <c r="E184" s="51"/>
      <c r="F184" s="52"/>
      <c r="G184" s="45" t="s">
        <v>2534</v>
      </c>
      <c r="H184" s="51" t="s">
        <v>2535</v>
      </c>
      <c r="I184" s="48"/>
      <c r="J184" s="75" t="s">
        <v>2536</v>
      </c>
      <c r="K184" s="75" t="s">
        <v>2537</v>
      </c>
      <c r="L184" s="48" t="s">
        <v>2465</v>
      </c>
    </row>
    <row r="185" spans="1:12" ht="21" customHeight="1" x14ac:dyDescent="0.4">
      <c r="A185" s="603"/>
      <c r="B185" s="603"/>
      <c r="C185" s="77"/>
      <c r="D185" s="78" t="s">
        <v>2538</v>
      </c>
      <c r="E185" s="51"/>
      <c r="F185" s="52"/>
      <c r="G185" s="50"/>
      <c r="H185" s="51"/>
      <c r="I185" s="48"/>
      <c r="J185" s="48" t="s">
        <v>2465</v>
      </c>
      <c r="K185" s="48" t="s">
        <v>2465</v>
      </c>
      <c r="L185" s="48" t="s">
        <v>2465</v>
      </c>
    </row>
    <row r="186" spans="1:12" ht="63" x14ac:dyDescent="0.4">
      <c r="A186" s="603"/>
      <c r="B186" s="603"/>
      <c r="C186" s="77"/>
      <c r="D186" s="78" t="s">
        <v>2539</v>
      </c>
      <c r="E186" s="51"/>
      <c r="F186" s="52"/>
      <c r="G186" s="50"/>
      <c r="H186" s="55" t="s">
        <v>2540</v>
      </c>
      <c r="I186" s="48"/>
      <c r="J186" s="48" t="s">
        <v>2465</v>
      </c>
      <c r="K186" s="75" t="s">
        <v>2541</v>
      </c>
      <c r="L186" s="48"/>
    </row>
    <row r="187" spans="1:12" ht="74.25" customHeight="1" x14ac:dyDescent="0.4">
      <c r="A187" s="603"/>
      <c r="B187" s="603"/>
      <c r="C187" s="77"/>
      <c r="D187" s="78" t="s">
        <v>2539</v>
      </c>
      <c r="E187" s="51"/>
      <c r="F187" s="52"/>
      <c r="G187" s="50"/>
      <c r="H187" s="55" t="s">
        <v>2542</v>
      </c>
      <c r="I187" s="48"/>
      <c r="J187" s="75" t="s">
        <v>2543</v>
      </c>
      <c r="K187" s="75" t="s">
        <v>2544</v>
      </c>
      <c r="L187" s="48" t="s">
        <v>2545</v>
      </c>
    </row>
    <row r="188" spans="1:12" ht="63" x14ac:dyDescent="0.4">
      <c r="A188" s="603"/>
      <c r="B188" s="603"/>
      <c r="C188" s="77"/>
      <c r="D188" s="78" t="s">
        <v>2539</v>
      </c>
      <c r="E188" s="51"/>
      <c r="F188" s="52"/>
      <c r="G188" s="50"/>
      <c r="H188" s="55" t="s">
        <v>2546</v>
      </c>
      <c r="I188" s="48"/>
      <c r="J188" s="48" t="s">
        <v>2465</v>
      </c>
      <c r="K188" s="75" t="s">
        <v>2547</v>
      </c>
      <c r="L188" s="75" t="s">
        <v>2548</v>
      </c>
    </row>
    <row r="189" spans="1:12" ht="84" x14ac:dyDescent="0.4">
      <c r="A189" s="603"/>
      <c r="B189" s="603"/>
      <c r="C189" s="77"/>
      <c r="D189" s="78" t="s">
        <v>2539</v>
      </c>
      <c r="E189" s="51"/>
      <c r="F189" s="52"/>
      <c r="G189" s="50"/>
      <c r="H189" s="55" t="s">
        <v>2549</v>
      </c>
      <c r="I189" s="48"/>
      <c r="J189" s="48" t="s">
        <v>2465</v>
      </c>
      <c r="K189" s="75" t="s">
        <v>2550</v>
      </c>
      <c r="L189" s="75" t="s">
        <v>2551</v>
      </c>
    </row>
    <row r="190" spans="1:12" ht="105" x14ac:dyDescent="0.4">
      <c r="A190" s="603"/>
      <c r="B190" s="603"/>
      <c r="C190" s="77"/>
      <c r="D190" s="78" t="s">
        <v>2539</v>
      </c>
      <c r="E190" s="51"/>
      <c r="F190" s="52"/>
      <c r="G190" s="50"/>
      <c r="H190" s="55" t="s">
        <v>2552</v>
      </c>
      <c r="I190" s="48"/>
      <c r="J190" s="48" t="s">
        <v>2465</v>
      </c>
      <c r="K190" s="48" t="s">
        <v>2465</v>
      </c>
      <c r="L190" s="75" t="s">
        <v>2553</v>
      </c>
    </row>
    <row r="191" spans="1:12" ht="63" x14ac:dyDescent="0.4">
      <c r="A191" s="604"/>
      <c r="B191" s="604"/>
      <c r="C191" s="77"/>
      <c r="D191" s="78" t="s">
        <v>2539</v>
      </c>
      <c r="E191" s="51"/>
      <c r="F191" s="51"/>
      <c r="G191" s="50"/>
      <c r="H191" s="47" t="s">
        <v>2554</v>
      </c>
      <c r="I191" s="48"/>
      <c r="J191" s="48"/>
      <c r="K191" s="48"/>
      <c r="L191" s="48"/>
    </row>
    <row r="192" spans="1:12" ht="82.35" customHeight="1" x14ac:dyDescent="0.4">
      <c r="B192" s="602" t="s">
        <v>2555</v>
      </c>
      <c r="C192" s="77"/>
      <c r="D192" s="80" t="s">
        <v>720</v>
      </c>
      <c r="E192" s="48" t="s">
        <v>2556</v>
      </c>
      <c r="F192" s="48"/>
      <c r="G192" s="50"/>
      <c r="H192" s="48" t="s">
        <v>2557</v>
      </c>
      <c r="I192" s="48"/>
      <c r="J192" s="48" t="s">
        <v>2558</v>
      </c>
      <c r="K192" s="48"/>
      <c r="L192" s="48"/>
    </row>
    <row r="193" spans="2:12" ht="69" customHeight="1" x14ac:dyDescent="0.4">
      <c r="B193" s="603"/>
      <c r="C193" s="77"/>
      <c r="D193" s="80" t="s">
        <v>2559</v>
      </c>
      <c r="E193" s="48" t="s">
        <v>2560</v>
      </c>
      <c r="F193" s="48"/>
      <c r="G193" s="50"/>
      <c r="H193" s="48"/>
      <c r="I193" s="48"/>
      <c r="J193" s="48"/>
      <c r="K193" s="48"/>
      <c r="L193" s="48"/>
    </row>
    <row r="194" spans="2:12" ht="69" customHeight="1" x14ac:dyDescent="0.4">
      <c r="B194" s="603"/>
      <c r="C194" s="77"/>
      <c r="D194" s="80" t="s">
        <v>720</v>
      </c>
      <c r="E194" s="48" t="s">
        <v>2561</v>
      </c>
      <c r="F194" s="48"/>
      <c r="G194" s="50"/>
      <c r="H194" s="48" t="s">
        <v>2562</v>
      </c>
      <c r="I194" s="48"/>
      <c r="J194" s="48"/>
      <c r="K194" s="48"/>
      <c r="L194" s="48"/>
    </row>
    <row r="195" spans="2:12" ht="69" customHeight="1" x14ac:dyDescent="0.4">
      <c r="B195" s="603"/>
      <c r="C195" s="77"/>
      <c r="D195" s="80" t="s">
        <v>720</v>
      </c>
      <c r="E195" s="48" t="s">
        <v>2563</v>
      </c>
      <c r="F195" s="48"/>
      <c r="G195" s="50"/>
      <c r="H195" s="48" t="s">
        <v>2564</v>
      </c>
      <c r="I195" s="48"/>
      <c r="J195" s="48"/>
      <c r="K195" s="48"/>
      <c r="L195" s="48"/>
    </row>
    <row r="196" spans="2:12" ht="69" customHeight="1" x14ac:dyDescent="0.4">
      <c r="B196" s="603"/>
      <c r="C196" s="77"/>
      <c r="D196" s="80" t="s">
        <v>720</v>
      </c>
      <c r="E196" s="51" t="s">
        <v>2565</v>
      </c>
      <c r="F196" s="48"/>
      <c r="G196" s="50"/>
      <c r="H196" s="48" t="s">
        <v>2566</v>
      </c>
      <c r="I196" s="48"/>
      <c r="J196" s="48"/>
      <c r="K196" s="48"/>
      <c r="L196" s="48"/>
    </row>
    <row r="197" spans="2:12" ht="69" customHeight="1" x14ac:dyDescent="0.4">
      <c r="B197" s="603"/>
      <c r="C197" s="77"/>
      <c r="D197" s="80" t="s">
        <v>720</v>
      </c>
      <c r="E197" s="51" t="s">
        <v>2567</v>
      </c>
      <c r="F197" s="48"/>
      <c r="G197" s="50"/>
      <c r="H197" s="48"/>
      <c r="I197" s="48"/>
      <c r="J197" s="48"/>
      <c r="K197" s="48"/>
      <c r="L197" s="48"/>
    </row>
    <row r="198" spans="2:12" ht="69" customHeight="1" x14ac:dyDescent="0.4">
      <c r="B198" s="603"/>
      <c r="C198" s="77"/>
      <c r="D198" s="80" t="s">
        <v>720</v>
      </c>
      <c r="E198" s="51" t="s">
        <v>2568</v>
      </c>
      <c r="F198" s="48"/>
      <c r="G198" s="50"/>
      <c r="H198" s="48"/>
      <c r="I198" s="48"/>
      <c r="J198" s="48"/>
      <c r="K198" s="48"/>
      <c r="L198" s="48"/>
    </row>
    <row r="199" spans="2:12" ht="105" x14ac:dyDescent="0.4">
      <c r="B199" s="603"/>
      <c r="C199" s="77"/>
      <c r="D199" s="80" t="s">
        <v>721</v>
      </c>
      <c r="E199" s="48" t="s">
        <v>2569</v>
      </c>
      <c r="F199" s="48"/>
      <c r="G199" s="50"/>
      <c r="H199" s="48" t="s">
        <v>2570</v>
      </c>
      <c r="I199" s="48"/>
      <c r="J199" s="48"/>
      <c r="K199" s="48" t="s">
        <v>2571</v>
      </c>
      <c r="L199" s="48"/>
    </row>
    <row r="200" spans="2:12" ht="84" x14ac:dyDescent="0.4">
      <c r="B200" s="603"/>
      <c r="C200" s="77"/>
      <c r="D200" s="80" t="s">
        <v>720</v>
      </c>
      <c r="E200" s="48" t="s">
        <v>2572</v>
      </c>
      <c r="F200" s="48"/>
      <c r="G200" s="50"/>
      <c r="H200" s="48"/>
      <c r="I200" s="48"/>
      <c r="J200" s="48"/>
      <c r="K200" s="48"/>
      <c r="L200" s="48"/>
    </row>
    <row r="201" spans="2:12" ht="105" x14ac:dyDescent="0.4">
      <c r="B201" s="603"/>
      <c r="C201" s="77"/>
      <c r="D201" s="80" t="s">
        <v>720</v>
      </c>
      <c r="E201" s="48" t="s">
        <v>2573</v>
      </c>
      <c r="F201" s="48" t="s">
        <v>2286</v>
      </c>
      <c r="G201" s="50"/>
      <c r="H201" s="48"/>
      <c r="I201" s="48"/>
      <c r="J201" s="48"/>
      <c r="K201" s="48"/>
      <c r="L201" s="48"/>
    </row>
    <row r="202" spans="2:12" ht="105" x14ac:dyDescent="0.4">
      <c r="B202" s="604"/>
      <c r="C202" s="77"/>
      <c r="D202" s="80" t="s">
        <v>720</v>
      </c>
      <c r="E202" s="51" t="s">
        <v>2574</v>
      </c>
      <c r="F202" s="48"/>
      <c r="G202" s="50"/>
      <c r="H202" s="48"/>
      <c r="I202" s="48"/>
      <c r="J202" s="48"/>
      <c r="K202" s="48"/>
      <c r="L202" s="48"/>
    </row>
    <row r="203" spans="2:12" x14ac:dyDescent="0.3">
      <c r="D203" s="77"/>
    </row>
  </sheetData>
  <mergeCells count="19">
    <mergeCell ref="A4:A99"/>
    <mergeCell ref="B93:B99"/>
    <mergeCell ref="A2:A3"/>
    <mergeCell ref="C2:C4"/>
    <mergeCell ref="A160:A191"/>
    <mergeCell ref="D2:D4"/>
    <mergeCell ref="D161:D163"/>
    <mergeCell ref="B192:B202"/>
    <mergeCell ref="D170:D171"/>
    <mergeCell ref="D172:D178"/>
    <mergeCell ref="D164:D169"/>
    <mergeCell ref="B12:B22"/>
    <mergeCell ref="B23:B32"/>
    <mergeCell ref="B33:B72"/>
    <mergeCell ref="B89:B91"/>
    <mergeCell ref="B161:B163"/>
    <mergeCell ref="B164:B169"/>
    <mergeCell ref="B170:B178"/>
    <mergeCell ref="B179:B191"/>
  </mergeCells>
  <phoneticPr fontId="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DB30F-8ABA-4380-A30C-C7848A7FA236}">
  <sheetPr codeName="Sheet15"/>
  <dimension ref="A1:H29"/>
  <sheetViews>
    <sheetView workbookViewId="0">
      <selection activeCell="H5" sqref="H5"/>
    </sheetView>
  </sheetViews>
  <sheetFormatPr baseColWidth="10" defaultColWidth="8.88671875" defaultRowHeight="14.4" x14ac:dyDescent="0.3"/>
  <cols>
    <col min="1" max="1" width="8.5546875" customWidth="1"/>
    <col min="5" max="5" width="15.44140625" customWidth="1"/>
    <col min="6" max="6" width="25.88671875" bestFit="1" customWidth="1"/>
    <col min="7" max="7" width="22.109375" bestFit="1" customWidth="1"/>
  </cols>
  <sheetData>
    <row r="1" spans="1:8" x14ac:dyDescent="0.3">
      <c r="A1" s="4" t="s">
        <v>2575</v>
      </c>
      <c r="B1" s="4" t="s">
        <v>2576</v>
      </c>
      <c r="C1" s="4" t="s">
        <v>2577</v>
      </c>
      <c r="D1" s="4" t="s">
        <v>2578</v>
      </c>
      <c r="E1" s="4" t="s">
        <v>9</v>
      </c>
      <c r="F1" s="4" t="s">
        <v>2</v>
      </c>
      <c r="G1" s="4" t="s">
        <v>1161</v>
      </c>
    </row>
    <row r="2" spans="1:8" x14ac:dyDescent="0.3">
      <c r="A2" t="s">
        <v>111</v>
      </c>
      <c r="B2" t="s">
        <v>106</v>
      </c>
      <c r="C2" t="s">
        <v>53</v>
      </c>
      <c r="D2" t="s">
        <v>2579</v>
      </c>
      <c r="E2" t="s">
        <v>41</v>
      </c>
      <c r="F2" t="s">
        <v>209</v>
      </c>
      <c r="G2" t="s">
        <v>738</v>
      </c>
      <c r="H2" t="s">
        <v>931</v>
      </c>
    </row>
    <row r="3" spans="1:8" x14ac:dyDescent="0.3">
      <c r="A3" t="s">
        <v>44</v>
      </c>
      <c r="B3" t="s">
        <v>45</v>
      </c>
      <c r="C3" t="s">
        <v>86</v>
      </c>
      <c r="D3" t="s">
        <v>2580</v>
      </c>
      <c r="E3" t="s">
        <v>311</v>
      </c>
      <c r="F3" t="s">
        <v>557</v>
      </c>
      <c r="G3" t="s">
        <v>747</v>
      </c>
      <c r="H3" t="s">
        <v>1026</v>
      </c>
    </row>
    <row r="4" spans="1:8" x14ac:dyDescent="0.3">
      <c r="A4" t="s">
        <v>43</v>
      </c>
      <c r="B4" t="s">
        <v>119</v>
      </c>
      <c r="C4" t="s">
        <v>42</v>
      </c>
      <c r="D4" t="s">
        <v>1853</v>
      </c>
      <c r="E4" t="s">
        <v>185</v>
      </c>
      <c r="F4" t="s">
        <v>2581</v>
      </c>
      <c r="G4" t="s">
        <v>2582</v>
      </c>
    </row>
    <row r="5" spans="1:8" x14ac:dyDescent="0.3">
      <c r="B5" t="s">
        <v>87</v>
      </c>
      <c r="D5" t="s">
        <v>2583</v>
      </c>
      <c r="E5" t="s">
        <v>140</v>
      </c>
      <c r="F5" t="s">
        <v>268</v>
      </c>
      <c r="G5" t="s">
        <v>744</v>
      </c>
    </row>
    <row r="6" spans="1:8" x14ac:dyDescent="0.3">
      <c r="B6" t="s">
        <v>157</v>
      </c>
      <c r="E6" t="s">
        <v>52</v>
      </c>
      <c r="F6" t="s">
        <v>569</v>
      </c>
      <c r="G6" t="s">
        <v>2584</v>
      </c>
    </row>
    <row r="7" spans="1:8" x14ac:dyDescent="0.3">
      <c r="E7" t="s">
        <v>2585</v>
      </c>
      <c r="F7" t="s">
        <v>584</v>
      </c>
      <c r="G7" t="s">
        <v>2586</v>
      </c>
    </row>
    <row r="8" spans="1:8" x14ac:dyDescent="0.3">
      <c r="F8" t="s">
        <v>35</v>
      </c>
      <c r="G8" t="s">
        <v>2587</v>
      </c>
    </row>
    <row r="9" spans="1:8" x14ac:dyDescent="0.3">
      <c r="F9" t="s">
        <v>143</v>
      </c>
      <c r="G9" t="s">
        <v>2588</v>
      </c>
    </row>
    <row r="10" spans="1:8" x14ac:dyDescent="0.3">
      <c r="F10" t="s">
        <v>346</v>
      </c>
      <c r="G10" t="s">
        <v>2589</v>
      </c>
    </row>
    <row r="11" spans="1:8" x14ac:dyDescent="0.3">
      <c r="F11" t="s">
        <v>223</v>
      </c>
      <c r="G11" t="s">
        <v>741</v>
      </c>
    </row>
    <row r="12" spans="1:8" x14ac:dyDescent="0.3">
      <c r="G12" t="s">
        <v>2590</v>
      </c>
    </row>
    <row r="13" spans="1:8" x14ac:dyDescent="0.3">
      <c r="G13" t="s">
        <v>748</v>
      </c>
    </row>
    <row r="14" spans="1:8" x14ac:dyDescent="0.3">
      <c r="G14" t="s">
        <v>751</v>
      </c>
    </row>
    <row r="15" spans="1:8" x14ac:dyDescent="0.3">
      <c r="G15" t="s">
        <v>2591</v>
      </c>
    </row>
    <row r="16" spans="1:8" x14ac:dyDescent="0.3">
      <c r="G16" t="s">
        <v>2590</v>
      </c>
    </row>
    <row r="17" spans="7:7" x14ac:dyDescent="0.3">
      <c r="G17" t="s">
        <v>2592</v>
      </c>
    </row>
    <row r="18" spans="7:7" x14ac:dyDescent="0.3">
      <c r="G18" t="s">
        <v>2593</v>
      </c>
    </row>
    <row r="19" spans="7:7" x14ac:dyDescent="0.3">
      <c r="G19" t="s">
        <v>2594</v>
      </c>
    </row>
    <row r="20" spans="7:7" x14ac:dyDescent="0.3">
      <c r="G20" t="s">
        <v>745</v>
      </c>
    </row>
    <row r="21" spans="7:7" x14ac:dyDescent="0.3">
      <c r="G21" t="s">
        <v>748</v>
      </c>
    </row>
    <row r="22" spans="7:7" x14ac:dyDescent="0.3">
      <c r="G22" t="s">
        <v>751</v>
      </c>
    </row>
    <row r="23" spans="7:7" x14ac:dyDescent="0.3">
      <c r="G23" t="s">
        <v>2595</v>
      </c>
    </row>
    <row r="24" spans="7:7" x14ac:dyDescent="0.3">
      <c r="G24" t="s">
        <v>764</v>
      </c>
    </row>
    <row r="25" spans="7:7" x14ac:dyDescent="0.3">
      <c r="G25" t="s">
        <v>757</v>
      </c>
    </row>
    <row r="26" spans="7:7" x14ac:dyDescent="0.3">
      <c r="G26" t="s">
        <v>516</v>
      </c>
    </row>
    <row r="27" spans="7:7" x14ac:dyDescent="0.3">
      <c r="G27" t="s">
        <v>761</v>
      </c>
    </row>
    <row r="28" spans="7:7" x14ac:dyDescent="0.3">
      <c r="G28" t="s">
        <v>763</v>
      </c>
    </row>
    <row r="29" spans="7:7" x14ac:dyDescent="0.3">
      <c r="G29" t="s">
        <v>1166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CA8BD-CD1F-43A0-87B5-0B2948B87645}">
  <sheetPr codeName="Sheet3"/>
  <dimension ref="A1:Q121"/>
  <sheetViews>
    <sheetView zoomScale="70" zoomScaleNormal="70" workbookViewId="0">
      <pane ySplit="1" topLeftCell="A65" activePane="bottomLeft" state="frozen"/>
      <selection activeCell="D1" sqref="D1"/>
      <selection pane="bottomLeft" activeCell="E72" sqref="E72"/>
    </sheetView>
  </sheetViews>
  <sheetFormatPr baseColWidth="10" defaultColWidth="8.88671875" defaultRowHeight="14.4" x14ac:dyDescent="0.3"/>
  <cols>
    <col min="1" max="1" width="14.5546875" customWidth="1"/>
    <col min="2" max="2" width="17.44140625" customWidth="1"/>
    <col min="3" max="3" width="20.44140625" customWidth="1"/>
    <col min="4" max="4" width="19.44140625" customWidth="1"/>
    <col min="5" max="5" width="92.44140625" style="169" customWidth="1"/>
    <col min="6" max="6" width="16" bestFit="1" customWidth="1"/>
    <col min="7" max="7" width="8.88671875" style="12"/>
    <col min="8" max="8" width="8.44140625" style="12" bestFit="1" customWidth="1"/>
    <col min="9" max="9" width="8.44140625" style="12" customWidth="1"/>
    <col min="10" max="11" width="9" style="12" customWidth="1"/>
    <col min="12" max="12" width="10.5546875" bestFit="1" customWidth="1"/>
    <col min="13" max="13" width="50.5546875" customWidth="1"/>
    <col min="14" max="14" width="11.44140625" bestFit="1" customWidth="1"/>
    <col min="15" max="15" width="10.5546875" bestFit="1" customWidth="1"/>
    <col min="16" max="16" width="16" bestFit="1" customWidth="1"/>
  </cols>
  <sheetData>
    <row r="1" spans="1:17" ht="28.8" x14ac:dyDescent="0.3">
      <c r="A1" s="299" t="s">
        <v>1</v>
      </c>
      <c r="B1" s="299" t="s">
        <v>700</v>
      </c>
      <c r="C1" s="299" t="s">
        <v>3</v>
      </c>
      <c r="D1" s="299" t="s">
        <v>4</v>
      </c>
      <c r="E1" s="299" t="s">
        <v>701</v>
      </c>
      <c r="F1" s="301" t="s">
        <v>702</v>
      </c>
      <c r="G1" s="301" t="s">
        <v>703</v>
      </c>
      <c r="H1" s="299" t="s">
        <v>704</v>
      </c>
      <c r="I1" s="299" t="s">
        <v>705</v>
      </c>
      <c r="J1" s="299" t="s">
        <v>706</v>
      </c>
      <c r="K1" s="299" t="s">
        <v>707</v>
      </c>
      <c r="L1" s="299" t="s">
        <v>708</v>
      </c>
      <c r="M1" s="299" t="s">
        <v>709</v>
      </c>
      <c r="N1" s="299" t="s">
        <v>710</v>
      </c>
      <c r="O1" s="301" t="s">
        <v>711</v>
      </c>
      <c r="P1" s="301" t="s">
        <v>712</v>
      </c>
    </row>
    <row r="2" spans="1:17" ht="5.4" customHeight="1" x14ac:dyDescent="0.3">
      <c r="A2" s="249"/>
      <c r="B2" s="249"/>
      <c r="C2" s="249"/>
      <c r="D2" s="249"/>
      <c r="E2" s="250"/>
      <c r="F2" s="257"/>
      <c r="G2" s="257"/>
      <c r="H2" s="296"/>
      <c r="I2" s="257"/>
      <c r="J2" s="297"/>
      <c r="K2" s="297"/>
      <c r="L2" s="296"/>
      <c r="M2" s="257"/>
      <c r="N2" s="296"/>
      <c r="O2" s="251"/>
      <c r="P2" s="251"/>
      <c r="Q2" s="251"/>
    </row>
    <row r="3" spans="1:17" ht="28.8" x14ac:dyDescent="0.3">
      <c r="A3" s="461" t="s">
        <v>208</v>
      </c>
      <c r="B3" s="461" t="s">
        <v>713</v>
      </c>
      <c r="C3" s="461" t="s">
        <v>714</v>
      </c>
      <c r="D3" s="461" t="str">
        <f>Admin_2024!E62</f>
        <v>Utiliser de manière rationelle les espaces</v>
      </c>
      <c r="E3" s="248" t="str">
        <f>Admin_2024!G63</f>
        <v>Repenser les espaces de travail pour les rationnaliser et les adapter à la nouvelle manière de travailler</v>
      </c>
      <c r="F3" s="15" t="s">
        <v>715</v>
      </c>
      <c r="G3" s="259">
        <f>VLOOKUP(E3,Admin_2024!$G$2:$AA$138,21,FALSE)</f>
        <v>52.897600526119348</v>
      </c>
      <c r="H3" s="213">
        <f>G3/Sankey_diag!$H$29</f>
        <v>3.4694151819107656E-2</v>
      </c>
      <c r="I3" s="213">
        <f>G3/(Sankey_diag!$H$3+Sankey_diag!$H$29+Sankey_diag!$H$44+Sankey_diag!$H$51)</f>
        <v>1.4393201789344478E-2</v>
      </c>
      <c r="J3" s="302">
        <v>1</v>
      </c>
      <c r="K3" s="302"/>
      <c r="L3" s="213">
        <f>VLOOKUP(E3,Admin_2024!$G$2:$AA$138,14,FALSE)</f>
        <v>9.6000000000000002E-2</v>
      </c>
      <c r="M3" s="247" t="str">
        <f>VLOOKUP(E3,Admin_2024!$G$2:$AA$138,13,FALSE)</f>
        <v>Réduction de l'espace par rapport à 2019 (Politique de teletravail + en plan d'occupation des batiments))</v>
      </c>
      <c r="N3" s="11">
        <f>VLOOKUP(E3,Admin_2024!$G$2:$AA$138,16,FALSE)</f>
        <v>0</v>
      </c>
    </row>
    <row r="4" spans="1:17" ht="28.35" customHeight="1" x14ac:dyDescent="0.3">
      <c r="A4" s="461"/>
      <c r="B4" s="461"/>
      <c r="C4" s="461"/>
      <c r="D4" s="461"/>
      <c r="E4" s="248" t="str">
        <f>Admin_2024!G64</f>
        <v xml:space="preserve">Rationnaliser l'utilisation du chauffage (Chauffer les pièces utiles, en fonction de l'occupation du batiment) </v>
      </c>
      <c r="F4" s="15" t="s">
        <v>715</v>
      </c>
      <c r="G4" s="259">
        <f>VLOOKUP(E4,Admin_2024!$G$2:$AA$138,21,FALSE)</f>
        <v>8.2652500822061477</v>
      </c>
      <c r="H4" s="213">
        <f>G4/Sankey_diag!$H$29</f>
        <v>5.4209612217355711E-3</v>
      </c>
      <c r="I4" s="213">
        <f>G4/(Sankey_diag!$H$3+Sankey_diag!$H$29+Sankey_diag!$H$44+Sankey_diag!$H$51)</f>
        <v>2.2489377795850748E-3</v>
      </c>
      <c r="J4" s="302">
        <v>1</v>
      </c>
      <c r="K4" s="302"/>
      <c r="L4" s="213">
        <f>VLOOKUP(E4,Admin_2024!$G$2:$AA$138,14,FALSE)</f>
        <v>7.4999999999999997E-2</v>
      </c>
      <c r="M4" s="247" t="str">
        <f>VLOOKUP(E4,Admin_2024!$G$2:$AA$138,13,FALSE)</f>
        <v>% surface.jours en T reduite</v>
      </c>
      <c r="N4" s="11">
        <f>VLOOKUP(E4,Admin_2024!$G$2:$AA$138,16,FALSE)</f>
        <v>0</v>
      </c>
    </row>
    <row r="5" spans="1:17" x14ac:dyDescent="0.3">
      <c r="A5" s="461"/>
      <c r="B5" s="461"/>
      <c r="C5" s="461"/>
      <c r="D5" s="461" t="str">
        <f>Admin_2024!E43</f>
        <v>Améliorer la performance énergétique des batiments</v>
      </c>
      <c r="E5" s="248" t="str">
        <f>Admin_2024!G50</f>
        <v>Mettre en œuvre le plan d'action PLAGE pour améliorer la performance énergétique des batiments</v>
      </c>
      <c r="F5" s="15" t="s">
        <v>715</v>
      </c>
      <c r="G5" s="259">
        <f>VLOOKUP(E5,Admin_2024!$G$2:$AA$138,21,FALSE)</f>
        <v>228.7025237074086</v>
      </c>
      <c r="H5" s="213">
        <f>G5/Sankey_diag!$H$29</f>
        <v>0.15</v>
      </c>
      <c r="I5" s="213">
        <f>G5/(Sankey_diag!$H$3+Sankey_diag!$H$29+Sankey_diag!$H$44+Sankey_diag!$H$51)</f>
        <v>6.2228939322638885E-2</v>
      </c>
      <c r="J5" s="302">
        <v>1</v>
      </c>
      <c r="K5" s="302"/>
      <c r="L5" s="213">
        <f>VLOOKUP(E5,Admin_2024!$G$2:$AA$138,14,FALSE)</f>
        <v>1</v>
      </c>
      <c r="M5" s="247" t="str">
        <f>VLOOKUP(E5,Admin_2024!$G$2:$AA$138,13,FALSE)</f>
        <v>Plage en place</v>
      </c>
      <c r="N5" s="11">
        <f>VLOOKUP(E5,Admin_2024!$G$2:$AA$138,16,FALSE)</f>
        <v>0</v>
      </c>
      <c r="P5" s="12">
        <v>5</v>
      </c>
    </row>
    <row r="6" spans="1:17" ht="28.8" x14ac:dyDescent="0.3">
      <c r="A6" s="461"/>
      <c r="B6" s="461"/>
      <c r="C6" s="461"/>
      <c r="D6" s="461"/>
      <c r="E6" s="248" t="str">
        <f>CONCATENATE(Admin_2024!G43, "/", Admin_2024!G45)</f>
        <v>Construire les nouveaux batiments, passifs ou BNE/Insérer des clauses d'éco-construction dans les cahiers des charges afin de tendre vers des batiments neutres</v>
      </c>
      <c r="F6" s="15" t="s">
        <v>715</v>
      </c>
      <c r="G6" s="259">
        <f>Admin_2024!AA43</f>
        <v>17.351281114791316</v>
      </c>
      <c r="H6" s="213">
        <f>G6/Sankey_diag!$H$29</f>
        <v>1.1380251188432276E-2</v>
      </c>
      <c r="I6" s="213">
        <f>G6/(Sankey_diag!$H$3+Sankey_diag!$H$29+Sankey_diag!$H$44+Sankey_diag!$H$51)</f>
        <v>4.7212064045422742E-3</v>
      </c>
      <c r="J6" s="302">
        <v>1</v>
      </c>
      <c r="K6" s="302"/>
      <c r="L6" s="213">
        <f>Admin_2024!T43</f>
        <v>1</v>
      </c>
      <c r="M6" s="247" t="str">
        <f>Admin_2024!S43</f>
        <v>% de nouveaux batiments</v>
      </c>
      <c r="N6" s="11">
        <f>Admin_2024!V43</f>
        <v>2020</v>
      </c>
      <c r="P6" s="12" t="s">
        <v>716</v>
      </c>
    </row>
    <row r="7" spans="1:17" x14ac:dyDescent="0.3">
      <c r="A7" s="461"/>
      <c r="B7" s="461"/>
      <c r="C7" s="461"/>
      <c r="D7" s="461"/>
      <c r="E7" s="248" t="str">
        <f>Admin_2024!G44</f>
        <v>Entreprendre des rénovations grâce à l'aide de RénoClick, Sibelga</v>
      </c>
      <c r="F7" s="15" t="s">
        <v>715</v>
      </c>
      <c r="G7" s="259">
        <f>VLOOKUP(E7,Admin_2024!$G$2:$AA$138,21,FALSE)</f>
        <v>171.88291360335936</v>
      </c>
      <c r="H7" s="213">
        <f>G7/Sankey_diag!$H$29</f>
        <v>0.11273350474037076</v>
      </c>
      <c r="I7" s="213">
        <f>G7/(Sankey_diag!$H$3+Sankey_diag!$H$29+Sankey_diag!$H$44+Sankey_diag!$H$51)</f>
        <v>4.6768576174113036E-2</v>
      </c>
      <c r="J7" s="302">
        <v>1</v>
      </c>
      <c r="K7" s="302"/>
      <c r="L7" s="213">
        <f>VLOOKUP(E7,Admin_2024!$G$2:$AA$138,14,FALSE)</f>
        <v>0.3</v>
      </c>
      <c r="M7" s="247" t="str">
        <f>VLOOKUP(E7,Admin_2024!$G$2:$AA$138,13,FALSE)</f>
        <v>Amount of buildings renovated</v>
      </c>
      <c r="N7" s="11">
        <f>VLOOKUP(E7,Admin_2024!$G$2:$AA$138,16,FALSE)</f>
        <v>0</v>
      </c>
    </row>
    <row r="8" spans="1:17" ht="28.8" x14ac:dyDescent="0.3">
      <c r="A8" s="461"/>
      <c r="B8" s="461"/>
      <c r="C8" s="461"/>
      <c r="D8" s="461"/>
      <c r="E8" s="248" t="str">
        <f>Admin_2024!G46</f>
        <v>Mettre en place un programme d’isolation des toitures des bâtiments communaux, avec pour objectif d’isoler la plupart des grandes toitures pour la fin de la législature</v>
      </c>
      <c r="F8" s="15" t="s">
        <v>715</v>
      </c>
      <c r="G8" s="259">
        <f>VLOOKUP(E8,Admin_2024!$G$2:$AA$138,21,FALSE)</f>
        <v>95.620008882373099</v>
      </c>
      <c r="H8" s="213">
        <f>G8/Sankey_diag!$H$29</f>
        <v>6.2714661385659801E-2</v>
      </c>
      <c r="I8" s="213">
        <f>G8/(Sankey_diag!$H$3+Sankey_diag!$H$29+Sankey_diag!$H$44+Sankey_diag!$H$51)</f>
        <v>2.6017779053387119E-2</v>
      </c>
      <c r="J8" s="302">
        <v>1</v>
      </c>
      <c r="K8" s="302"/>
      <c r="L8" s="213">
        <f>VLOOKUP(E8,Admin_2024!$G$2:$AA$138,14,FALSE)</f>
        <v>0.3</v>
      </c>
      <c r="M8" s="247" t="str">
        <f>VLOOKUP(E8,Admin_2024!$G$2:$AA$138,13,FALSE)</f>
        <v>% des toits isolés</v>
      </c>
      <c r="N8" s="11">
        <f>VLOOKUP(E8,Admin_2024!$G$2:$AA$138,16,FALSE)</f>
        <v>0</v>
      </c>
      <c r="P8" s="12">
        <v>8</v>
      </c>
    </row>
    <row r="9" spans="1:17" ht="28.8" x14ac:dyDescent="0.3">
      <c r="A9" s="461"/>
      <c r="B9" s="461"/>
      <c r="C9" s="461"/>
      <c r="D9" s="461"/>
      <c r="E9" s="248" t="str">
        <f>Admin_2024!G47</f>
        <v>Réaliser des économies d’énergie en remplaçant les équipements énergivores et les anciens chauffages, en commençant par les plus énergivores et polluantes (chaufferies au mazout)</v>
      </c>
      <c r="F9" s="15" t="s">
        <v>715</v>
      </c>
      <c r="G9" s="259">
        <f>VLOOKUP(E9,Admin_2024!$G$2:$AA$138,21,FALSE)</f>
        <v>9.6866798999999997</v>
      </c>
      <c r="H9" s="213">
        <f>G9/Sankey_diag!$H$29</f>
        <v>6.3532398394470857E-3</v>
      </c>
      <c r="I9" s="213">
        <f>G9/(Sankey_diag!$H$3+Sankey_diag!$H$29+Sankey_diag!$H$44+Sankey_diag!$H$51)</f>
        <v>2.6357025098074981E-3</v>
      </c>
      <c r="J9" s="302">
        <v>1</v>
      </c>
      <c r="K9" s="302"/>
      <c r="L9" s="213">
        <f>VLOOKUP(E9,Admin_2024!$G$2:$AA$138,14,FALSE)</f>
        <v>1</v>
      </c>
      <c r="M9" s="247" t="str">
        <f>VLOOKUP(E9,Admin_2024!$G$2:$AA$138,13,FALSE)</f>
        <v>L de mazout supprimé</v>
      </c>
      <c r="N9" s="11">
        <f>VLOOKUP(E9,Admin_2024!$G$2:$AA$138,16,FALSE)</f>
        <v>0</v>
      </c>
      <c r="P9" s="12">
        <v>5</v>
      </c>
    </row>
    <row r="10" spans="1:17" x14ac:dyDescent="0.3">
      <c r="A10" s="461"/>
      <c r="B10" s="461"/>
      <c r="C10" s="461"/>
      <c r="D10" s="461"/>
      <c r="E10" s="248" t="str">
        <f>Admin_2024!G48</f>
        <v>Mettre en place une régulation sur les plus grosses chaufferies</v>
      </c>
      <c r="F10" s="15" t="s">
        <v>717</v>
      </c>
      <c r="G10" s="259">
        <f>VLOOKUP(E10,Admin_2024!$G$2:$AA$138,21,FALSE)</f>
        <v>35.414818104582629</v>
      </c>
      <c r="H10" s="213">
        <f>G10/Sankey_diag!$H$29</f>
        <v>2.3227652365059189E-2</v>
      </c>
      <c r="I10" s="213">
        <f>G10/(Sankey_diag!$H$3+Sankey_diag!$H$29+Sankey_diag!$H$44+Sankey_diag!$H$51)</f>
        <v>9.6362144642174515E-3</v>
      </c>
      <c r="J10" s="302">
        <v>1</v>
      </c>
      <c r="K10" s="302"/>
      <c r="L10" s="213">
        <f>VLOOKUP(E10,Admin_2024!$G$2:$AA$138,14,FALSE)</f>
        <v>1</v>
      </c>
      <c r="M10" s="247" t="str">
        <f>VLOOKUP(E10,Admin_2024!$G$2:$AA$138,13,FALSE)</f>
        <v xml:space="preserve">Nombre d'installations </v>
      </c>
      <c r="N10" s="11">
        <f>VLOOKUP(E10,Admin_2024!$G$2:$AA$138,16,FALSE)</f>
        <v>0</v>
      </c>
    </row>
    <row r="11" spans="1:17" x14ac:dyDescent="0.3">
      <c r="A11" s="461"/>
      <c r="B11" s="461"/>
      <c r="C11" s="461"/>
      <c r="D11" s="461"/>
      <c r="E11" s="248" t="str">
        <f>Admin_2024!G49</f>
        <v>Remplacer les ampoules traditionnelles en fin de vie par des ampoules LED</v>
      </c>
      <c r="F11" s="15" t="s">
        <v>717</v>
      </c>
      <c r="G11" s="259">
        <f>VLOOKUP(E11,Admin_2024!$G$2:$AA$138,21,FALSE)</f>
        <v>15.132707407918661</v>
      </c>
      <c r="H11" s="213">
        <f>G11/Sankey_diag!$H$29</f>
        <v>9.9251467556685635E-3</v>
      </c>
      <c r="I11" s="213">
        <f>G11/(Sankey_diag!$H$3+Sankey_diag!$H$29+Sankey_diag!$H$44+Sankey_diag!$H$51)</f>
        <v>4.1175423681785676E-3</v>
      </c>
      <c r="J11" s="302">
        <v>1</v>
      </c>
      <c r="K11" s="302"/>
      <c r="L11" s="213">
        <f>VLOOKUP(E11,Admin_2024!$G$2:$AA$138,14,FALSE)</f>
        <v>1</v>
      </c>
      <c r="M11" s="247" t="str">
        <f>VLOOKUP(E11,Admin_2024!$G$2:$AA$138,13,FALSE)</f>
        <v>% ampoules LED acheter par rapport total</v>
      </c>
      <c r="N11" s="11">
        <f>VLOOKUP(E11,Admin_2024!$G$2:$AA$138,16,FALSE)</f>
        <v>0</v>
      </c>
    </row>
    <row r="12" spans="1:17" ht="28.8" x14ac:dyDescent="0.3">
      <c r="A12" s="461"/>
      <c r="B12" s="461"/>
      <c r="C12" s="461"/>
      <c r="D12" s="461" t="str">
        <f>Admin_2024!E58</f>
        <v>Opérer un shift vers des énergies faibles en carbone ou renouvlables</v>
      </c>
      <c r="E12" s="248" t="str">
        <f>Admin_2024!G58</f>
        <v>Augmenter la production d’énergie solaire sur les bâtiments publics, en identifiant et en valorisant le potentiel ER des toitures des bâtiments communaux</v>
      </c>
      <c r="F12" s="15" t="s">
        <v>718</v>
      </c>
      <c r="G12" s="259">
        <f>VLOOKUP(E12,Admin_2024!$G$2:$AA$138,21,FALSE)</f>
        <v>0</v>
      </c>
      <c r="H12" s="213">
        <f>G12/Sankey_diag!$H$29</f>
        <v>0</v>
      </c>
      <c r="I12" s="213">
        <f>G12/(Sankey_diag!$H$3+Sankey_diag!$H$29+Sankey_diag!$H$44+Sankey_diag!$H$51)</f>
        <v>0</v>
      </c>
      <c r="J12" s="302">
        <v>2</v>
      </c>
      <c r="K12" s="302"/>
      <c r="L12" s="213">
        <f>VLOOKUP(E12,Admin_2024!$G$2:$AA$138,14,FALSE)</f>
        <v>0.3</v>
      </c>
      <c r="M12" s="247" t="str">
        <f>VLOOKUP(E12,Admin_2024!$G$2:$AA$138,13,FALSE)</f>
        <v>% de toitures équipées/toitures utilisables ; kwh produits normalisés par rapport à l'ensoleillement</v>
      </c>
      <c r="N12" s="11">
        <f>VLOOKUP(E12,Admin_2024!$G$2:$AA$138,16,FALSE)</f>
        <v>2022</v>
      </c>
      <c r="P12" s="12">
        <v>7</v>
      </c>
    </row>
    <row r="13" spans="1:17" ht="48.75" customHeight="1" x14ac:dyDescent="0.3">
      <c r="A13" s="461"/>
      <c r="B13" s="461"/>
      <c r="C13" s="461"/>
      <c r="D13" s="461"/>
      <c r="E13" s="248" t="str">
        <f>Admin_2024!G61</f>
        <v>Recourir à un fournisseur d’électricité d’origine 100% verte pour tous les bâtiments communaux et du CPAS dans le cadre d’un marché conjoint avec les autres communes de la zone de police de Bruxelles-Ouest</v>
      </c>
      <c r="F13" s="15" t="s">
        <v>718</v>
      </c>
      <c r="G13" s="259">
        <f>VLOOKUP(E13,Admin_2024!$G$2:$AA$138,21,FALSE)</f>
        <v>0</v>
      </c>
      <c r="H13" s="213">
        <f>G13/Sankey_diag!$H$29</f>
        <v>0</v>
      </c>
      <c r="I13" s="213">
        <f>G13/(Sankey_diag!$H$3+Sankey_diag!$H$29+Sankey_diag!$H$44+Sankey_diag!$H$51)</f>
        <v>0</v>
      </c>
      <c r="J13" s="302">
        <v>1</v>
      </c>
      <c r="K13" s="302"/>
      <c r="L13" s="213">
        <f>VLOOKUP(E13,Admin_2024!$G$2:$AA$138,14,FALSE)</f>
        <v>1</v>
      </c>
      <c r="M13" s="247" t="str">
        <f>VLOOKUP(E13,Admin_2024!$G$2:$AA$138,13,FALSE)</f>
        <v>% d'electricité verte</v>
      </c>
      <c r="N13" s="11">
        <f>VLOOKUP(E13,Admin_2024!$G$2:$AA$138,16,FALSE)</f>
        <v>0</v>
      </c>
    </row>
    <row r="14" spans="1:17" ht="57.6" x14ac:dyDescent="0.3">
      <c r="A14" s="461"/>
      <c r="B14" s="461"/>
      <c r="C14" s="461"/>
      <c r="D14" s="244" t="str">
        <f>Admin_2024!E39</f>
        <v>Mettre en place des dispositifs et infrastructures d'économie d'eau</v>
      </c>
      <c r="E14" s="133" t="str">
        <f>Admin_2024!G39</f>
        <v>Equiper les bâtiments d'équipements pour économiser l'eau (robinets automatiques, double chasse etc)</v>
      </c>
      <c r="F14" s="15" t="s">
        <v>715</v>
      </c>
      <c r="G14" s="259">
        <f>VLOOKUP(E14,Admin_2024!$G$2:$AA$138,21,FALSE)</f>
        <v>8.3286149350998322</v>
      </c>
      <c r="H14" s="213">
        <f>G14/Sankey_diag!$H$29</f>
        <v>5.4625205704474924E-3</v>
      </c>
      <c r="I14" s="213">
        <f>G14/(Sankey_diag!$H$3+Sankey_diag!$H$29+Sankey_diag!$H$44+Sankey_diag!$H$51)</f>
        <v>2.2661790741802918E-3</v>
      </c>
      <c r="J14" s="302">
        <v>3</v>
      </c>
      <c r="K14" s="302"/>
      <c r="L14" s="213">
        <f>VLOOKUP(E14,Admin_2024!$G$2:$AA$138,14,FALSE)</f>
        <v>0.5</v>
      </c>
      <c r="M14" s="247" t="str">
        <f>VLOOKUP(E14,Admin_2024!$G$2:$AA$138,13,FALSE)</f>
        <v>amount of sanitary users w/ saving mode implemented (other option: procedure de considération/reflexe - reflection sur nouveau robinet.)</v>
      </c>
      <c r="N14" s="11">
        <f>VLOOKUP(E14,Admin_2024!$G$2:$AA$138,16,FALSE)</f>
        <v>0</v>
      </c>
    </row>
    <row r="15" spans="1:17" x14ac:dyDescent="0.3">
      <c r="A15" s="461"/>
      <c r="B15" s="461"/>
      <c r="C15" s="461"/>
      <c r="D15" s="461" t="str">
        <f>Admin_2024!E41</f>
        <v>Améliorer la connaissance et faire un monitoring des économies d'énergie dans les bâtiments</v>
      </c>
      <c r="E15" s="248" t="str">
        <f>Admin_2024!G41</f>
        <v xml:space="preserve">Participer à des échanges de bonnes pratiques entre communes </v>
      </c>
      <c r="F15" s="15" t="s">
        <v>719</v>
      </c>
      <c r="G15" s="259">
        <f>VLOOKUP(E15,Admin_2024!$G$2:$AA$138,21,FALSE)</f>
        <v>0</v>
      </c>
      <c r="H15" s="213">
        <f>G15/Sankey_diag!$H$29</f>
        <v>0</v>
      </c>
      <c r="I15" s="213">
        <f>G15/(Sankey_diag!$H$3+Sankey_diag!$H$29+Sankey_diag!$H$44+Sankey_diag!$H$51)</f>
        <v>0</v>
      </c>
      <c r="J15" s="302">
        <v>3</v>
      </c>
      <c r="K15" s="302"/>
      <c r="L15" s="295">
        <f>VLOOKUP(E15,Admin_2024!$G$2:$AA$138,14,FALSE)</f>
        <v>4</v>
      </c>
      <c r="M15" s="247" t="str">
        <f>VLOOKUP(E15,Admin_2024!$G$2:$AA$138,13,FALSE)</f>
        <v>nombre de participations (réunion/séminaires/echanges)</v>
      </c>
      <c r="N15" s="11">
        <f>VLOOKUP(E15,Admin_2024!$G$2:$AA$138,16,FALSE)</f>
        <v>2022</v>
      </c>
    </row>
    <row r="16" spans="1:17" ht="28.8" x14ac:dyDescent="0.3">
      <c r="A16" s="461"/>
      <c r="B16" s="461"/>
      <c r="C16" s="461"/>
      <c r="D16" s="461"/>
      <c r="E16" s="248" t="str">
        <f>Admin_2024!G42</f>
        <v>Mettre en place un monitoring des consommations en temps réel et une comptabilité énergétique (Système NR-Click) en partenariat avec Sibelga afin de pouvoir repérer les anomalies et réagir si nécessaire</v>
      </c>
      <c r="F16" s="15" t="s">
        <v>719</v>
      </c>
      <c r="G16" s="259">
        <f>VLOOKUP(E16,Admin_2024!$G$2:$AA$138,21,FALSE)</f>
        <v>17.62901677983173</v>
      </c>
      <c r="H16" s="213">
        <f>G16/Sankey_diag!$H$29</f>
        <v>1.1562410742602129E-2</v>
      </c>
      <c r="I16" s="213">
        <f>G16/(Sankey_diag!$H$3+Sankey_diag!$H$29+Sankey_diag!$H$44+Sankey_diag!$H$51)</f>
        <v>4.7967770434987726E-3</v>
      </c>
      <c r="J16" s="302">
        <v>2</v>
      </c>
      <c r="K16" s="302"/>
      <c r="L16" s="213">
        <f>VLOOKUP(E16,Admin_2024!$G$2:$AA$138,14,FALSE)</f>
        <v>0.5</v>
      </c>
      <c r="M16" s="247" t="str">
        <f>VLOOKUP(E16,Admin_2024!$G$2:$AA$138,13,FALSE)</f>
        <v>% of buildings equiped</v>
      </c>
      <c r="N16" s="11">
        <f>VLOOKUP(E16,Admin_2024!$G$2:$AA$138,16,FALSE)</f>
        <v>0</v>
      </c>
      <c r="P16" s="12">
        <v>1.6</v>
      </c>
    </row>
    <row r="17" spans="1:17" x14ac:dyDescent="0.3">
      <c r="A17" s="461"/>
      <c r="B17" s="461"/>
      <c r="C17" s="461"/>
      <c r="D17" s="463" t="str">
        <f>Admin_2024!E55</f>
        <v>Sensibiliser et changer le comportements des gestionnaires et utilisateurs des bâtiments communaux</v>
      </c>
      <c r="E17" s="248" t="str">
        <f>Admin_2024!G55</f>
        <v>Mettre en place des formations et sensibiliser le personnel occupant les bâtiments</v>
      </c>
      <c r="F17" s="15" t="s">
        <v>720</v>
      </c>
      <c r="G17" s="259">
        <f>VLOOKUP(E17,Admin_2024!$G$2:$AA$138,21,FALSE)</f>
        <v>5.5101667214707657</v>
      </c>
      <c r="H17" s="213">
        <f>G17/Sankey_diag!$H$29</f>
        <v>3.6139741478237145E-3</v>
      </c>
      <c r="I17" s="213">
        <f>G17/(Sankey_diag!$H$3+Sankey_diag!$H$29+Sankey_diag!$H$44+Sankey_diag!$H$51)</f>
        <v>1.4992918530567167E-3</v>
      </c>
      <c r="J17" s="302">
        <v>2</v>
      </c>
      <c r="K17" s="302"/>
      <c r="L17" s="213">
        <f>VLOOKUP(E17,Admin_2024!$G$2:$AA$138,14,FALSE)</f>
        <v>1</v>
      </c>
      <c r="M17" s="247" t="str">
        <f>VLOOKUP(E17,Admin_2024!$G$2:$AA$138,13,FALSE)</f>
        <v>quantité de personnelle atteint /2 ans</v>
      </c>
      <c r="N17" s="11" t="str">
        <f>VLOOKUP(E17,Admin_2024!$G$2:$AA$138,16,FALSE)</f>
        <v>2022-2023</v>
      </c>
    </row>
    <row r="18" spans="1:17" x14ac:dyDescent="0.3">
      <c r="A18" s="461"/>
      <c r="B18" s="461"/>
      <c r="C18" s="461"/>
      <c r="D18" s="463"/>
      <c r="E18" s="248" t="str">
        <f>Admin_2024!G56</f>
        <v>Sous action 4AD1 : Poster des idées concernant l'économie d'énergie sur l'intranet</v>
      </c>
      <c r="F18" s="15" t="s">
        <v>720</v>
      </c>
      <c r="G18" s="259">
        <f>VLOOKUP(E18,Admin_2024!$G$2:$AA$138,21,FALSE)</f>
        <v>0</v>
      </c>
      <c r="H18" s="213">
        <f>G18/Sankey_diag!$H$29</f>
        <v>0</v>
      </c>
      <c r="I18" s="213">
        <f>G18/(Sankey_diag!$H$3+Sankey_diag!$H$29+Sankey_diag!$H$44+Sankey_diag!$H$51)</f>
        <v>0</v>
      </c>
      <c r="J18" s="302">
        <v>3</v>
      </c>
      <c r="K18" s="302"/>
      <c r="L18" s="295">
        <f>VLOOKUP(E18,Admin_2024!$G$2:$AA$138,14,FALSE)</f>
        <v>2</v>
      </c>
      <c r="M18" s="247" t="str">
        <f>VLOOKUP(E18,Admin_2024!$G$2:$AA$138,13,FALSE)</f>
        <v>nombre publication minimum / an</v>
      </c>
      <c r="N18" s="11">
        <f>VLOOKUP(E18,Admin_2024!$G$2:$AA$138,16,FALSE)</f>
        <v>2022</v>
      </c>
    </row>
    <row r="19" spans="1:17" ht="28.8" x14ac:dyDescent="0.3">
      <c r="A19" s="461"/>
      <c r="B19" s="461"/>
      <c r="C19" s="461"/>
      <c r="D19" s="463"/>
      <c r="E19" s="248" t="str">
        <f>Admin_2024!G57</f>
        <v>Sous action 4AD1 : Sensibiliser les utilisateurs à l'utilisation du chauffage (ex : mesurer la t°…) avec consigne générale votée par le Collège/Codir</v>
      </c>
      <c r="F19" s="15" t="s">
        <v>720</v>
      </c>
      <c r="G19" s="259">
        <f>VLOOKUP(E19,Admin_2024!$G$2:$AA$138,21,FALSE)</f>
        <v>4.5612538306497452</v>
      </c>
      <c r="H19" s="213">
        <f>G19/Sankey_diag!$H$29</f>
        <v>2.9916070164261949E-3</v>
      </c>
      <c r="I19" s="213">
        <f>G19/(Sankey_diag!$H$3+Sankey_diag!$H$29+Sankey_diag!$H$44+Sankey_diag!$H$51)</f>
        <v>1.2410968766824429E-3</v>
      </c>
      <c r="J19" s="302">
        <v>3</v>
      </c>
      <c r="K19" s="302"/>
      <c r="L19" s="213">
        <f>VLOOKUP(E19,Admin_2024!$G$2:$AA$138,14,FALSE)</f>
        <v>1</v>
      </c>
      <c r="M19" s="247" t="str">
        <f>VLOOKUP(E19,Admin_2024!$G$2:$AA$138,13,FALSE)</f>
        <v>% de pers sensibilisées</v>
      </c>
      <c r="N19" s="11">
        <f>VLOOKUP(E19,Admin_2024!$G$2:$AA$138,16,FALSE)</f>
        <v>0</v>
      </c>
    </row>
    <row r="20" spans="1:17" x14ac:dyDescent="0.3">
      <c r="A20" s="461"/>
      <c r="B20" s="461"/>
      <c r="C20" s="461"/>
      <c r="D20" s="461" t="str">
        <f>Admin_2024!E51</f>
        <v xml:space="preserve">Mettre en place une bonne gouvernance et un système de gestion permettant une amélioration continue. </v>
      </c>
      <c r="E20" s="248" t="str">
        <f>Admin_2024!G52</f>
        <v>Augmenter les ressources humaines et financières en lien avec les actions proposées</v>
      </c>
      <c r="F20" s="15" t="s">
        <v>721</v>
      </c>
      <c r="G20" s="259">
        <f>VLOOKUP(E20,Admin_2024!$G$2:$AA$138,21,FALSE)</f>
        <v>0</v>
      </c>
      <c r="H20" s="213">
        <f>G20/Sankey_diag!$H$29</f>
        <v>0</v>
      </c>
      <c r="I20" s="213">
        <f>G20/(Sankey_diag!$H$3+Sankey_diag!$H$29+Sankey_diag!$H$44+Sankey_diag!$H$51)</f>
        <v>0</v>
      </c>
      <c r="J20" s="302">
        <v>1</v>
      </c>
      <c r="K20" s="302"/>
      <c r="L20" s="295"/>
      <c r="M20" s="247" t="str">
        <f>VLOOKUP(E20,Admin_2024!$G$2:$AA$138,13,FALSE)</f>
        <v>Quantité de personnes à analyser</v>
      </c>
      <c r="N20" s="11">
        <f>VLOOKUP(E20,Admin_2024!$G$2:$AA$138,16,FALSE)</f>
        <v>0</v>
      </c>
    </row>
    <row r="21" spans="1:17" ht="42" customHeight="1" x14ac:dyDescent="0.3">
      <c r="A21" s="461"/>
      <c r="B21" s="461"/>
      <c r="C21" s="461"/>
      <c r="D21" s="461"/>
      <c r="E21" s="248" t="str">
        <f>Admin_2024!G53</f>
        <v>Utilisation optimale des subsides régionale disponible (e.g. PPT (programme prioritaire des travaux))</v>
      </c>
      <c r="F21" s="15" t="s">
        <v>721</v>
      </c>
      <c r="G21" s="259">
        <f>VLOOKUP(E21,Admin_2024!$G$2:$AA$138,21,FALSE)</f>
        <v>0</v>
      </c>
      <c r="H21" s="213">
        <f>G21/Sankey_diag!$H$29</f>
        <v>0</v>
      </c>
      <c r="I21" s="213">
        <f>G21/(Sankey_diag!$H$3+Sankey_diag!$H$29+Sankey_diag!$H$44+Sankey_diag!$H$51)</f>
        <v>0</v>
      </c>
      <c r="J21" s="302">
        <v>1</v>
      </c>
      <c r="K21" s="302"/>
      <c r="L21" s="213">
        <f>VLOOKUP(E21,Admin_2024!$G$2:$AA$138,14,FALSE)</f>
        <v>0.7</v>
      </c>
      <c r="M21" s="247" t="str">
        <f>VLOOKUP(E21,Admin_2024!$G$2:$AA$138,13,FALSE)</f>
        <v>% utilisé de l'enveloppe disponible. (dossier soumis)</v>
      </c>
      <c r="N21" s="11">
        <f>VLOOKUP(E21,Admin_2024!$G$2:$AA$138,16,FALSE)</f>
        <v>2022</v>
      </c>
    </row>
    <row r="22" spans="1:17" ht="30" customHeight="1" x14ac:dyDescent="0.3">
      <c r="A22" s="461"/>
      <c r="B22" s="461"/>
      <c r="C22" s="461"/>
      <c r="D22" s="461"/>
      <c r="E22" s="248" t="str">
        <f>Admin_2024!G54</f>
        <v>Mettre en place une éco-team</v>
      </c>
      <c r="F22" s="15" t="s">
        <v>721</v>
      </c>
      <c r="G22" s="259">
        <f>VLOOKUP(E22,Admin_2024!$G$2:$AA$138,21,FALSE)</f>
        <v>0</v>
      </c>
      <c r="H22" s="213">
        <f>G22/Sankey_diag!$H$29</f>
        <v>0</v>
      </c>
      <c r="I22" s="213">
        <f>G22/(Sankey_diag!$H$3+Sankey_diag!$H$29+Sankey_diag!$H$44+Sankey_diag!$H$51)</f>
        <v>0</v>
      </c>
      <c r="J22" s="302">
        <v>2</v>
      </c>
      <c r="K22" s="302"/>
      <c r="L22" s="295">
        <f>VLOOKUP(E22,Admin_2024!$G$2:$AA$138,14,FALSE)</f>
        <v>1</v>
      </c>
      <c r="M22" s="247" t="str">
        <f>VLOOKUP(E22,Admin_2024!$G$2:$AA$138,13,FALSE)</f>
        <v>ecoteams en place</v>
      </c>
      <c r="N22" s="11">
        <f>VLOOKUP(E22,Admin_2024!$G$2:$AA$138,16,FALSE)</f>
        <v>2022</v>
      </c>
    </row>
    <row r="23" spans="1:17" ht="5.4" customHeight="1" x14ac:dyDescent="0.3">
      <c r="A23" s="249"/>
      <c r="B23" s="249"/>
      <c r="C23" s="249"/>
      <c r="D23" s="249"/>
      <c r="E23" s="250"/>
      <c r="F23" s="257"/>
      <c r="G23" s="257"/>
      <c r="H23" s="296"/>
      <c r="I23" s="257"/>
      <c r="J23" s="303"/>
      <c r="K23" s="303"/>
      <c r="L23" s="296"/>
      <c r="M23" s="257"/>
      <c r="N23" s="296"/>
      <c r="O23" s="251"/>
      <c r="P23" s="251"/>
      <c r="Q23" s="251"/>
    </row>
    <row r="24" spans="1:17" ht="29.1" customHeight="1" x14ac:dyDescent="0.3">
      <c r="A24" s="461" t="str">
        <f>Admin_2024!B106</f>
        <v>Mobilité + Transport de marchandises et véhicules utilitaires / Mobiliteit + goederenvervoer en gebruiksvoertuigen</v>
      </c>
      <c r="B24" s="461" t="s">
        <v>722</v>
      </c>
      <c r="C24" s="461" t="str">
        <f>Admin_2024!D106</f>
        <v>OS 2 Encourager les déplacements bas carbone et réduire les nécessités de déplacements / SD 2 Koolstofarme verplaatsingen aanmoedigen en de noodzaak voor verplaatsingen verminderen</v>
      </c>
      <c r="D24" s="461" t="str">
        <f>Admin_2024!E120</f>
        <v>Réduire les nécessités de déplacements</v>
      </c>
      <c r="E24" s="247" t="str">
        <f>Admin_2024!G125</f>
        <v>Encourager le télétravail pour limiter les déplacements domicile-travail (norme proposée à 2j/semaine pour les fonctions télétravaillables)</v>
      </c>
      <c r="F24" s="15" t="s">
        <v>715</v>
      </c>
      <c r="G24" s="259">
        <f>VLOOKUP(E24,Admin_2024!$G$2:$AA$138,21,FALSE)</f>
        <v>75.96246824575455</v>
      </c>
      <c r="H24" s="213">
        <f>G24/Sankey_diag!$H$3</f>
        <v>7.1486439972312868E-2</v>
      </c>
      <c r="I24" s="213">
        <f>G24/(Sankey_diag!$H$3+Sankey_diag!$H$29+Sankey_diag!$H$44+Sankey_diag!$H$51)</f>
        <v>2.066904969230042E-2</v>
      </c>
      <c r="J24" s="302">
        <v>1</v>
      </c>
      <c r="K24" s="302"/>
      <c r="L24" s="213">
        <f>VLOOKUP(E24,Admin_2024!$G$2:$AA$138,14,FALSE)</f>
        <v>0.12</v>
      </c>
      <c r="M24" s="247" t="str">
        <f>VLOOKUP(E24,Admin_2024!$G$2:$AA$138,13,FALSE)</f>
        <v xml:space="preserve">% jour/employé fait en télétravail pour ceux pour qui c'est faisable. </v>
      </c>
      <c r="N24" s="11">
        <f>VLOOKUP(E24,Admin_2024!$G$2:$AA$138,16,FALSE)</f>
        <v>0</v>
      </c>
    </row>
    <row r="25" spans="1:17" x14ac:dyDescent="0.3">
      <c r="A25" s="461"/>
      <c r="B25" s="461"/>
      <c r="C25" s="461"/>
      <c r="D25" s="461"/>
      <c r="E25" s="247" t="str">
        <f>Admin_2024!G120</f>
        <v>Réduire les kilomètres parcourus dans le cadre du transport des déchets de propreté publique</v>
      </c>
      <c r="F25" s="15" t="s">
        <v>715</v>
      </c>
      <c r="G25" s="259">
        <f>VLOOKUP(E25,Admin_2024!$G$2:$AA$138,21,FALSE)</f>
        <v>3.8144230769230777E-2</v>
      </c>
      <c r="H25" s="213">
        <f>G25/Sankey_diag!$H$3</f>
        <v>3.5896612184229053E-5</v>
      </c>
      <c r="I25" s="213">
        <f>G25/(Sankey_diag!$H$3+Sankey_diag!$H$29+Sankey_diag!$H$44+Sankey_diag!$H$51)</f>
        <v>1.0378875508536001E-5</v>
      </c>
      <c r="J25" s="302">
        <v>3</v>
      </c>
      <c r="K25" s="302"/>
      <c r="L25" s="213">
        <f>VLOOKUP(E25,Admin_2024!$G$2:$AA$138,14,FALSE)</f>
        <v>0.1</v>
      </c>
      <c r="M25" s="247" t="str">
        <f>VLOOKUP(E25,Admin_2024!$G$2:$AA$138,13,FALSE)</f>
        <v>% de distance réduite pour le transport de déchet</v>
      </c>
      <c r="N25" s="11">
        <f>VLOOKUP(E25,Admin_2024!$G$2:$AA$138,16,FALSE)</f>
        <v>0</v>
      </c>
    </row>
    <row r="26" spans="1:17" x14ac:dyDescent="0.3">
      <c r="A26" s="461"/>
      <c r="B26" s="461"/>
      <c r="C26" s="461"/>
      <c r="D26" s="461"/>
      <c r="E26" s="247" t="str">
        <f>Admin_2024!G122</f>
        <v>Organiser des commandes groupées (ex Colruyt) pour limiter les transports par les magasiniers</v>
      </c>
      <c r="F26" s="15" t="s">
        <v>715</v>
      </c>
      <c r="G26" s="259">
        <f>VLOOKUP(E26,Admin_2024!$G$2:$AA$138,21,FALSE)</f>
        <v>0.51881555555555559</v>
      </c>
      <c r="H26" s="213">
        <f>G26/Sankey_diag!$H$3</f>
        <v>4.8824475988505276E-4</v>
      </c>
      <c r="I26" s="213">
        <f>G26/(Sankey_diag!$H$3+Sankey_diag!$H$29+Sankey_diag!$H$44+Sankey_diag!$H$51)</f>
        <v>1.4116740472707779E-4</v>
      </c>
      <c r="J26" s="302">
        <v>3</v>
      </c>
      <c r="K26" s="302"/>
      <c r="L26" s="213">
        <f>VLOOKUP(E26,Admin_2024!$G$2:$AA$138,14,FALSE)</f>
        <v>0.2</v>
      </c>
      <c r="M26" s="247" t="str">
        <f>VLOOKUP(E26,Admin_2024!$G$2:$AA$138,13,FALSE)</f>
        <v>Réduction de nombre de transport par les magasiniers</v>
      </c>
      <c r="N26" s="11">
        <f>VLOOKUP(E26,Admin_2024!$G$2:$AA$138,16,FALSE)</f>
        <v>0</v>
      </c>
    </row>
    <row r="27" spans="1:17" ht="28.8" x14ac:dyDescent="0.3">
      <c r="A27" s="461"/>
      <c r="B27" s="461"/>
      <c r="C27" s="461"/>
      <c r="D27" s="461" t="str">
        <f>Admin_2024!E106</f>
        <v>Electrifier le charroi communal</v>
      </c>
      <c r="E27" s="247" t="str">
        <f>Admin_2024!G106</f>
        <v>Remplacer l’ensemble de la flotte thermique par des véhicules électriques d’ici 2035 au plus tard (Low Emission Mobility)</v>
      </c>
      <c r="F27" s="15" t="s">
        <v>718</v>
      </c>
      <c r="G27" s="259">
        <f>VLOOKUP(E27,Admin_2024!$G$2:$AA$138,21,FALSE)</f>
        <v>77.841156108597289</v>
      </c>
      <c r="H27" s="213">
        <f>G27/Sankey_diag!$H$3</f>
        <v>7.3254427640898484E-2</v>
      </c>
      <c r="I27" s="213">
        <f>G27/(Sankey_diag!$H$3+Sankey_diag!$H$29+Sankey_diag!$H$44+Sankey_diag!$H$51)</f>
        <v>2.1180232302478286E-2</v>
      </c>
      <c r="J27" s="302">
        <v>1</v>
      </c>
      <c r="K27" s="302"/>
      <c r="L27" s="213">
        <f>VLOOKUP(E27,Admin_2024!$G$2:$AA$138,14,FALSE)</f>
        <v>0.5</v>
      </c>
      <c r="M27" s="247" t="str">
        <f>VLOOKUP(E27,Admin_2024!$G$2:$AA$138,13,FALSE)</f>
        <v>% de la flotte étant des véhicules électriques</v>
      </c>
      <c r="N27" s="11">
        <f>VLOOKUP(E27,Admin_2024!$G$2:$AA$138,16,FALSE)</f>
        <v>2024</v>
      </c>
    </row>
    <row r="28" spans="1:17" x14ac:dyDescent="0.3">
      <c r="A28" s="461"/>
      <c r="B28" s="461"/>
      <c r="C28" s="461"/>
      <c r="D28" s="461"/>
      <c r="E28" s="247" t="str">
        <f>Admin_2024!G107</f>
        <v>Installer des bornes de recharge électriques couplées à une production d'énergie renouvelable</v>
      </c>
      <c r="F28" s="15" t="s">
        <v>718</v>
      </c>
      <c r="G28" s="259">
        <f>VLOOKUP(E28,Admin_2024!$G$2:$AA$138,21,FALSE)</f>
        <v>0</v>
      </c>
      <c r="H28" s="213">
        <f>G28/Sankey_diag!$H$3</f>
        <v>0</v>
      </c>
      <c r="I28" s="213">
        <f>G28/(Sankey_diag!$H$3+Sankey_diag!$H$29+Sankey_diag!$H$44+Sankey_diag!$H$51)</f>
        <v>0</v>
      </c>
      <c r="J28" s="302">
        <v>1</v>
      </c>
      <c r="K28" s="302"/>
      <c r="L28" s="295">
        <f>VLOOKUP(E28,Admin_2024!$G$2:$AA$138,14,FALSE)</f>
        <v>0</v>
      </c>
      <c r="M28" s="247" t="str">
        <f>VLOOKUP(E28,Admin_2024!$G$2:$AA$138,13,FALSE)</f>
        <v>quantité de bornes électriques</v>
      </c>
      <c r="N28" s="11">
        <f>VLOOKUP(E28,Admin_2024!$G$2:$AA$138,16,FALSE)</f>
        <v>0</v>
      </c>
    </row>
    <row r="29" spans="1:17" ht="14.4" customHeight="1" x14ac:dyDescent="0.3">
      <c r="A29" s="461"/>
      <c r="B29" s="461"/>
      <c r="C29" s="461"/>
      <c r="D29" s="461" t="str">
        <f>Admin_2024!E108</f>
        <v>Promouvoir la transition modale afin de diminuer l'impact des véhicules thermiques</v>
      </c>
      <c r="E29" s="247" t="str">
        <f>Admin_2024!G108</f>
        <v>Réaliser un challenge de mobilité douce par service/département</v>
      </c>
      <c r="F29" s="15" t="s">
        <v>720</v>
      </c>
      <c r="G29" s="259">
        <f>VLOOKUP(E29,Admin_2024!$G$2:$AA$138,21,FALSE)</f>
        <v>6.3302056871462131</v>
      </c>
      <c r="H29" s="213">
        <f>G29/Sankey_diag!$H$3</f>
        <v>5.9572033310260723E-3</v>
      </c>
      <c r="I29" s="213">
        <f>G29/(Sankey_diag!$H$3+Sankey_diag!$H$29+Sankey_diag!$H$44+Sankey_diag!$H$51)</f>
        <v>1.7224208076917016E-3</v>
      </c>
      <c r="J29" s="302">
        <v>3</v>
      </c>
      <c r="K29" s="302"/>
      <c r="L29" s="295">
        <f>VLOOKUP(E29,Admin_2024!$G$2:$AA$138,14,FALSE)</f>
        <v>0</v>
      </c>
      <c r="M29" s="247" t="str">
        <f>VLOOKUP(E29,Admin_2024!$G$2:$AA$138,13,FALSE)</f>
        <v>Nombre de participant au challenge</v>
      </c>
      <c r="N29" s="11">
        <f>VLOOKUP(E29,Admin_2024!$G$2:$AA$138,16,FALSE)</f>
        <v>0</v>
      </c>
    </row>
    <row r="30" spans="1:17" x14ac:dyDescent="0.3">
      <c r="A30" s="461"/>
      <c r="B30" s="461"/>
      <c r="C30" s="461"/>
      <c r="D30" s="461"/>
      <c r="E30" s="247" t="str">
        <f>Admin_2024!G110</f>
        <v>Mettre en place un système de partage des gros véhicules entre communes</v>
      </c>
      <c r="F30" s="15" t="s">
        <v>721</v>
      </c>
      <c r="G30" s="259">
        <f>VLOOKUP(E30,Admin_2024!$G$2:$AA$138,21,FALSE)</f>
        <v>0</v>
      </c>
      <c r="H30" s="213">
        <f>G30/Sankey_diag!$H$3</f>
        <v>0</v>
      </c>
      <c r="I30" s="213">
        <f>G30/(Sankey_diag!$H$3+Sankey_diag!$H$29+Sankey_diag!$H$44+Sankey_diag!$H$51)</f>
        <v>0</v>
      </c>
      <c r="J30" s="302">
        <v>3</v>
      </c>
      <c r="K30" s="302"/>
      <c r="L30" s="213">
        <f>VLOOKUP(E30,Admin_2024!$G$2:$AA$138,14,FALSE)</f>
        <v>0.3</v>
      </c>
      <c r="M30" s="247" t="str">
        <f>VLOOKUP(E30,Admin_2024!$G$2:$AA$138,13,FALSE)</f>
        <v>% de la flotte de gros véhicules partagés</v>
      </c>
      <c r="N30" s="11">
        <f>VLOOKUP(E30,Admin_2024!$G$2:$AA$138,16,FALSE)</f>
        <v>0</v>
      </c>
    </row>
    <row r="31" spans="1:17" x14ac:dyDescent="0.3">
      <c r="A31" s="461"/>
      <c r="B31" s="461"/>
      <c r="C31" s="461"/>
      <c r="D31" s="461"/>
      <c r="E31" s="247" t="str">
        <f>Admin_2024!G111</f>
        <v>Recourir à une distribution du courrier carbon neutral: coursier vélo, label Bpost</v>
      </c>
      <c r="F31" s="15" t="s">
        <v>718</v>
      </c>
      <c r="G31" s="259">
        <f>VLOOKUP(E31,Admin_2024!$G$2:$AA$138,21,FALSE)</f>
        <v>0</v>
      </c>
      <c r="H31" s="213">
        <f>G31/Sankey_diag!$H$3</f>
        <v>0</v>
      </c>
      <c r="I31" s="213">
        <f>G31/(Sankey_diag!$H$3+Sankey_diag!$H$29+Sankey_diag!$H$44+Sankey_diag!$H$51)</f>
        <v>0</v>
      </c>
      <c r="J31" s="302">
        <v>3</v>
      </c>
      <c r="K31" s="302"/>
      <c r="L31" s="213">
        <f>VLOOKUP(E31,Admin_2024!$G$2:$AA$138,14,FALSE)</f>
        <v>0.5</v>
      </c>
      <c r="M31" s="247" t="str">
        <f>VLOOKUP(E31,Admin_2024!$G$2:$AA$138,13,FALSE)</f>
        <v>% distance de distribution neutre en carbone</v>
      </c>
      <c r="N31" s="11">
        <f>VLOOKUP(E31,Admin_2024!$G$2:$AA$138,16,FALSE)</f>
        <v>0</v>
      </c>
    </row>
    <row r="32" spans="1:17" ht="28.8" x14ac:dyDescent="0.3">
      <c r="A32" s="461"/>
      <c r="B32" s="461"/>
      <c r="C32" s="461"/>
      <c r="D32" s="461"/>
      <c r="E32" s="247" t="str">
        <f>Admin_2024!G113</f>
        <v>Augmenter le nombre d’écoles équipées de parkings vélo intérieurs ainsi que les batiments publics</v>
      </c>
      <c r="F32" s="15" t="s">
        <v>718</v>
      </c>
      <c r="G32" s="259">
        <f>VLOOKUP(E32,Admin_2024!$G$2:$AA$138,21,FALSE)</f>
        <v>0</v>
      </c>
      <c r="H32" s="213">
        <f>G32/Sankey_diag!$H$3</f>
        <v>0</v>
      </c>
      <c r="I32" s="213">
        <f>G32/(Sankey_diag!$H$3+Sankey_diag!$H$29+Sankey_diag!$H$44+Sankey_diag!$H$51)</f>
        <v>0</v>
      </c>
      <c r="J32" s="302">
        <v>2</v>
      </c>
      <c r="K32" s="302"/>
      <c r="L32" s="213">
        <f>VLOOKUP(E32,Admin_2024!$G$2:$AA$138,14,FALSE)</f>
        <v>0.2</v>
      </c>
      <c r="M32" s="247" t="str">
        <f>VLOOKUP(E32,Admin_2024!$G$2:$AA$138,13,FALSE)</f>
        <v>% batiments et écoles et batiments publiques possédant des parkings à vélo intérieur</v>
      </c>
      <c r="N32" s="11">
        <f>VLOOKUP(E32,Admin_2024!$G$2:$AA$138,16,FALSE)</f>
        <v>0</v>
      </c>
    </row>
    <row r="33" spans="1:17" ht="28.8" x14ac:dyDescent="0.3">
      <c r="A33" s="461"/>
      <c r="B33" s="461"/>
      <c r="C33" s="461"/>
      <c r="D33" s="461"/>
      <c r="E33" s="247" t="str">
        <f>Admin_2024!G114</f>
        <v xml:space="preserve">Encourager les rangs piétonier et les rues scolaires là où c’est possible (et les plans de déplacements scolaires ou c'est pas une obligation) (plutot Territoire) </v>
      </c>
      <c r="F33" s="15" t="s">
        <v>721</v>
      </c>
      <c r="G33" s="259">
        <f>VLOOKUP(E33,Admin_2024!$G$2:$AA$138,21,FALSE)</f>
        <v>0</v>
      </c>
      <c r="H33" s="213">
        <f>G33/Sankey_diag!$H$3</f>
        <v>0</v>
      </c>
      <c r="I33" s="213">
        <f>G33/(Sankey_diag!$H$3+Sankey_diag!$H$29+Sankey_diag!$H$44+Sankey_diag!$H$51)</f>
        <v>0</v>
      </c>
      <c r="J33" s="302">
        <v>2</v>
      </c>
      <c r="K33" s="302"/>
      <c r="L33" s="213">
        <f>VLOOKUP(E33,Admin_2024!$G$2:$AA$138,14,FALSE)</f>
        <v>0.2</v>
      </c>
      <c r="M33" s="247" t="str">
        <f>VLOOKUP(E33,Admin_2024!$G$2:$AA$138,13,FALSE)</f>
        <v>% d'école avec un rang scolaire ou une rue scolaire</v>
      </c>
      <c r="N33" s="11">
        <f>VLOOKUP(E33,Admin_2024!$G$2:$AA$138,16,FALSE)</f>
        <v>0</v>
      </c>
    </row>
    <row r="34" spans="1:17" ht="28.8" x14ac:dyDescent="0.3">
      <c r="A34" s="461"/>
      <c r="B34" s="461"/>
      <c r="C34" s="461"/>
      <c r="D34" s="461"/>
      <c r="E34" s="247" t="str">
        <f>Admin_2024!G115</f>
        <v xml:space="preserve">Stimuler l’utilisation de véhicules partagés et électriques via des campagnes de sensibilisation et des groupes de réflection. </v>
      </c>
      <c r="F34" s="15" t="s">
        <v>718</v>
      </c>
      <c r="G34" s="259">
        <f>VLOOKUP(E34,Admin_2024!$G$2:$AA$138,21,FALSE)</f>
        <v>4.8719680570349928E-2</v>
      </c>
      <c r="H34" s="213">
        <f>G34/Sankey_diag!$H$3</f>
        <v>4.5848911982362118E-5</v>
      </c>
      <c r="I34" s="213">
        <f>G34/(Sankey_diag!$H$3+Sankey_diag!$H$29+Sankey_diag!$H$44+Sankey_diag!$H$51)</f>
        <v>1.325640835476466E-5</v>
      </c>
      <c r="J34" s="302">
        <v>1</v>
      </c>
      <c r="K34" s="302"/>
      <c r="L34" s="213">
        <f>VLOOKUP(E34,Admin_2024!$G$2:$AA$138,14,FALSE)</f>
        <v>0.2</v>
      </c>
      <c r="M34" s="247" t="str">
        <f>VLOOKUP(E34,Admin_2024!$G$2:$AA$138,13,FALSE)</f>
        <v xml:space="preserve">% distance parcourue en voiture partagée </v>
      </c>
      <c r="N34" s="11">
        <f>VLOOKUP(E34,Admin_2024!$G$2:$AA$138,16,FALSE)</f>
        <v>0</v>
      </c>
    </row>
    <row r="35" spans="1:17" ht="43.2" x14ac:dyDescent="0.3">
      <c r="A35" s="461"/>
      <c r="B35" s="461"/>
      <c r="C35" s="461"/>
      <c r="D35" s="461"/>
      <c r="E35" s="247" t="str">
        <f>Admin_2024!G116</f>
        <v>Insérer systématiquement des clauses environnementales dans les cahiers des charges liés à l’achat de nouveaux véhicules, en fixant des objectifs plus ambitieux que ceux imposés par l’ordonnance « véhicules exemplaires » (&gt; achat)</v>
      </c>
      <c r="F35" s="15" t="s">
        <v>721</v>
      </c>
      <c r="G35" s="259">
        <f>VLOOKUP(E35,Admin_2024!$G$2:$AA$138,21,FALSE)</f>
        <v>0</v>
      </c>
      <c r="H35" s="213">
        <f>G35/Sankey_diag!$H$3</f>
        <v>0</v>
      </c>
      <c r="I35" s="213">
        <f>G35/(Sankey_diag!$H$3+Sankey_diag!$H$29+Sankey_diag!$H$44+Sankey_diag!$H$51)</f>
        <v>0</v>
      </c>
      <c r="J35" s="302">
        <v>1</v>
      </c>
      <c r="K35" s="302"/>
      <c r="L35" s="213">
        <f>VLOOKUP(E35,Admin_2024!$G$2:$AA$138,14,FALSE)</f>
        <v>1</v>
      </c>
      <c r="M35" s="247" t="str">
        <f>VLOOKUP(E35,Admin_2024!$G$2:$AA$138,13,FALSE)</f>
        <v>% de clause environnementale ambitieux insérée dans les cahiers des charges</v>
      </c>
      <c r="N35" s="11">
        <f>VLOOKUP(E35,Admin_2024!$G$2:$AA$138,16,FALSE)</f>
        <v>0</v>
      </c>
    </row>
    <row r="36" spans="1:17" ht="28.8" x14ac:dyDescent="0.3">
      <c r="A36" s="461"/>
      <c r="B36" s="461"/>
      <c r="C36" s="461"/>
      <c r="D36" s="461"/>
      <c r="E36" s="247" t="str">
        <f>Admin_2024!G117</f>
        <v xml:space="preserve">Augmenter la part des déplacements professionnels du personnel communal en vélo et en vélo cargo / triporteurs et faire l’acquisition de matériel en ce sens </v>
      </c>
      <c r="F36" s="15" t="s">
        <v>718</v>
      </c>
      <c r="G36" s="259">
        <f>VLOOKUP(E36,Admin_2024!$G$2:$AA$138,21,FALSE)</f>
        <v>18.0782460327138</v>
      </c>
      <c r="H36" s="213">
        <f>G36/Sankey_diag!$H$3</f>
        <v>1.7012999704555099E-2</v>
      </c>
      <c r="I36" s="213">
        <f>G36/(Sankey_diag!$H$3+Sankey_diag!$H$29+Sankey_diag!$H$44+Sankey_diag!$H$51)</f>
        <v>4.9190103248215322E-3</v>
      </c>
      <c r="J36" s="302">
        <v>2</v>
      </c>
      <c r="K36" s="302"/>
      <c r="L36" s="213">
        <f>VLOOKUP(E36,Admin_2024!$G$2:$AA$138,14,FALSE)</f>
        <v>0.1</v>
      </c>
      <c r="M36" s="247" t="str">
        <f>VLOOKUP(E36,Admin_2024!$G$2:$AA$138,13,FALSE)</f>
        <v>% distance professionnel parcourue en vélo, vélo cargo our triporteur</v>
      </c>
      <c r="N36" s="11">
        <f>VLOOKUP(E36,Admin_2024!$G$2:$AA$138,16,FALSE)</f>
        <v>0</v>
      </c>
    </row>
    <row r="37" spans="1:17" x14ac:dyDescent="0.3">
      <c r="A37" s="461"/>
      <c r="B37" s="461"/>
      <c r="C37" s="461"/>
      <c r="D37" s="461"/>
      <c r="E37" s="247" t="str">
        <f>Admin_2024!G118</f>
        <v>Réaliser un plan de rationnalisation du charroi communal dans le but de réduire la flotte de véhicules</v>
      </c>
      <c r="F37" s="15" t="s">
        <v>723</v>
      </c>
      <c r="G37" s="259">
        <f>VLOOKUP(E37,Admin_2024!$G$2:$AA$138,21,FALSE)</f>
        <v>0</v>
      </c>
      <c r="H37" s="213">
        <f>G37/Sankey_diag!$H$3</f>
        <v>0</v>
      </c>
      <c r="I37" s="213">
        <f>G37/(Sankey_diag!$H$3+Sankey_diag!$H$29+Sankey_diag!$H$44+Sankey_diag!$H$51)</f>
        <v>0</v>
      </c>
      <c r="J37" s="302">
        <v>3</v>
      </c>
      <c r="K37" s="302"/>
      <c r="L37" s="213">
        <f>VLOOKUP(E37,Admin_2024!$G$2:$AA$138,14,FALSE)</f>
        <v>0.1</v>
      </c>
      <c r="M37" s="247" t="str">
        <f>VLOOKUP(E37,Admin_2024!$G$2:$AA$138,13,FALSE)</f>
        <v>Réduction de la flotte de véhicules combustion thermique</v>
      </c>
      <c r="N37" s="11">
        <f>VLOOKUP(E37,Admin_2024!$G$2:$AA$138,16,FALSE)</f>
        <v>0</v>
      </c>
    </row>
    <row r="38" spans="1:17" ht="28.8" x14ac:dyDescent="0.3">
      <c r="A38" s="461"/>
      <c r="B38" s="461"/>
      <c r="C38" s="461"/>
      <c r="D38" s="461"/>
      <c r="E38" s="247" t="str">
        <f>Admin_2024!G119</f>
        <v xml:space="preserve">Mettre à disposition des vélos électriques pour les enseignants/leasing vélo electriques pour les enseignants/crèches. </v>
      </c>
      <c r="F38" s="15" t="s">
        <v>718</v>
      </c>
      <c r="G38" s="259">
        <f>VLOOKUP(E38,Admin_2024!$G$2:$AA$138,21,FALSE)</f>
        <v>23.576355974745251</v>
      </c>
      <c r="H38" s="213">
        <f>G38/Sankey_diag!$H$3</f>
        <v>2.2187137873165418E-2</v>
      </c>
      <c r="I38" s="213">
        <f>G38/(Sankey_diag!$H$3+Sankey_diag!$H$29+Sankey_diag!$H$44+Sankey_diag!$H$51)</f>
        <v>6.4150215818271298E-3</v>
      </c>
      <c r="J38" s="302">
        <v>1</v>
      </c>
      <c r="K38" s="302"/>
      <c r="L38" s="213">
        <f>VLOOKUP(E38,Admin_2024!$G$2:$AA$138,14,FALSE)</f>
        <v>0.25</v>
      </c>
      <c r="M38" s="247" t="str">
        <f>VLOOKUP(E38,Admin_2024!$G$2:$AA$138,13,FALSE)</f>
        <v>% des enseignants/pericutrices avec vélo electrique</v>
      </c>
      <c r="N38" s="11">
        <f>VLOOKUP(E38,Admin_2024!$G$2:$AA$138,16,FALSE)</f>
        <v>0</v>
      </c>
    </row>
    <row r="39" spans="1:17" x14ac:dyDescent="0.3">
      <c r="A39" s="461"/>
      <c r="B39" s="461"/>
      <c r="C39" s="461"/>
      <c r="D39" s="461"/>
      <c r="E39" s="247" t="str">
        <f>Admin_2024!G126</f>
        <v>Utiliser et encourage le budget de mobilité</v>
      </c>
      <c r="F39" s="15" t="s">
        <v>718</v>
      </c>
      <c r="G39" s="259">
        <f>VLOOKUP(E39,Admin_2024!$G$2:$AA$138,21,FALSE)</f>
        <v>8.4437293065765378</v>
      </c>
      <c r="H39" s="213">
        <f>G39/Sankey_diag!$H$3</f>
        <v>7.9461892452497782E-3</v>
      </c>
      <c r="I39" s="213">
        <f>G39/(Sankey_diag!$H$3+Sankey_diag!$H$29+Sankey_diag!$H$44+Sankey_diag!$H$51)</f>
        <v>2.2975011825753532E-3</v>
      </c>
      <c r="J39" s="302">
        <v>1</v>
      </c>
      <c r="K39" s="302"/>
      <c r="L39" s="213">
        <f>VLOOKUP(E39,Admin_2024!$G$2:$AA$138,14,FALSE)</f>
        <v>0.1</v>
      </c>
      <c r="M39" s="247" t="str">
        <f>VLOOKUP(E39,Admin_2024!$G$2:$AA$138,13,FALSE)</f>
        <v>% de personnes qui utilisent le budget de mobilité</v>
      </c>
      <c r="N39" s="11">
        <f>VLOOKUP(E39,Admin_2024!$G$2:$AA$138,16,FALSE)</f>
        <v>0</v>
      </c>
    </row>
    <row r="40" spans="1:17" ht="6" customHeight="1" x14ac:dyDescent="0.3">
      <c r="A40" s="251"/>
      <c r="B40" s="251"/>
      <c r="C40" s="251"/>
      <c r="D40" s="251"/>
      <c r="E40" s="298"/>
      <c r="F40" s="257"/>
      <c r="G40" s="296"/>
      <c r="H40" s="296"/>
      <c r="I40" s="296"/>
      <c r="J40" s="304"/>
      <c r="K40" s="304"/>
      <c r="L40" s="296"/>
      <c r="M40" s="257"/>
      <c r="N40" s="296"/>
      <c r="O40" s="251"/>
      <c r="P40" s="251"/>
      <c r="Q40" s="251"/>
    </row>
    <row r="41" spans="1:17" ht="31.35" customHeight="1" x14ac:dyDescent="0.3">
      <c r="A41" s="461" t="str">
        <f>Admin_2024!B23</f>
        <v>Alimentation durable / Duurzame voeding</v>
      </c>
      <c r="B41" s="461" t="s">
        <v>724</v>
      </c>
      <c r="C41" s="461" t="str">
        <f>Admin_2024!D23</f>
        <v>OS 3 Promouvoir l'alimentation durable au sein de l'administration communale 
SD 3 Duurzame voeding promoten binnen het gemeentebestuur</v>
      </c>
      <c r="D41" s="461" t="str">
        <f>Admin_2024!E30</f>
        <v>Promouvoir la consommation de produits végétaux et diminuer la viande/produit animaux</v>
      </c>
      <c r="E41" s="247" t="str">
        <f>Admin_2024!G30</f>
        <v>Encourager la réduction de consommation viande &amp; consommer une viande durable et locale via des ateliers, communication, formation…</v>
      </c>
      <c r="F41" s="15" t="s">
        <v>720</v>
      </c>
      <c r="G41" s="259">
        <f>VLOOKUP(E41,Admin_2024!$G$2:$AA$138,21,FALSE)</f>
        <v>0</v>
      </c>
      <c r="H41" s="213">
        <f>G41/Sankey_diag!$K$57</f>
        <v>0</v>
      </c>
      <c r="I41" s="213">
        <f>G41/(Sankey_diag!$H$3+Sankey_diag!$H$29+Sankey_diag!$H$44+Sankey_diag!$H$51)</f>
        <v>0</v>
      </c>
      <c r="J41" s="305">
        <v>2</v>
      </c>
      <c r="K41" s="305"/>
      <c r="L41" s="295">
        <f>VLOOKUP(E41,Admin_2024!$G$2:$AA$138,14,FALSE)</f>
        <v>2</v>
      </c>
      <c r="M41" s="247" t="str">
        <f>VLOOKUP(E41,Admin_2024!$G$2:$AA$138,13,FALSE)</f>
        <v>Quantité de campagnes de sensibilisation (administration, ecoles, … ) par année</v>
      </c>
      <c r="N41" s="11">
        <f>VLOOKUP(E41,Admin_2024!$G$2:$AA$138,16,FALSE)</f>
        <v>0</v>
      </c>
    </row>
    <row r="42" spans="1:17" ht="24.6" customHeight="1" x14ac:dyDescent="0.3">
      <c r="A42" s="461"/>
      <c r="B42" s="461"/>
      <c r="C42" s="461"/>
      <c r="D42" s="461"/>
      <c r="E42" s="247" t="str">
        <f>Admin_2024!G31</f>
        <v xml:space="preserve">Augmenter les repas végétariens dans les cantines scolaires et les crèches.  </v>
      </c>
      <c r="F42" s="15" t="s">
        <v>718</v>
      </c>
      <c r="G42" s="259">
        <f>VLOOKUP(E42,Admin_2024!$G$2:$AA$138,21,FALSE)</f>
        <v>37.664636132812504</v>
      </c>
      <c r="H42" s="213">
        <f>G42/Sankey_diag!$K$57</f>
        <v>9.0723804197168259E-2</v>
      </c>
      <c r="I42" s="213">
        <f>G42/(Sankey_diag!$H$3+Sankey_diag!$H$29+Sankey_diag!$H$44+Sankey_diag!$H$51)</f>
        <v>1.0248379941432781E-2</v>
      </c>
      <c r="J42" s="305">
        <v>1</v>
      </c>
      <c r="K42" s="305"/>
      <c r="L42" s="213">
        <f>VLOOKUP(E42,Admin_2024!$G$2:$AA$138,14,FALSE)</f>
        <v>0.625</v>
      </c>
      <c r="M42" s="247" t="str">
        <f>VLOOKUP(E42,Admin_2024!$G$2:$AA$138,13,FALSE)</f>
        <v xml:space="preserve">% repas végétarien dans les écoles </v>
      </c>
      <c r="N42" s="11">
        <f>VLOOKUP(E42,Admin_2024!$G$2:$AA$138,16,FALSE)</f>
        <v>0</v>
      </c>
    </row>
    <row r="43" spans="1:17" ht="41.4" customHeight="1" x14ac:dyDescent="0.3">
      <c r="A43" s="461"/>
      <c r="B43" s="461"/>
      <c r="C43" s="461"/>
      <c r="D43" s="461"/>
      <c r="E43" s="247" t="str">
        <f>Admin_2024!G32</f>
        <v xml:space="preserve">Seulement offrir de la nourriture végétarienne au sein de l'administration communales et les évènements communaux. </v>
      </c>
      <c r="F43" s="15" t="s">
        <v>718</v>
      </c>
      <c r="G43" s="259">
        <f>VLOOKUP(E43,Admin_2024!$G$2:$AA$138,21,FALSE)</f>
        <v>25.173264374999995</v>
      </c>
      <c r="H43" s="213">
        <f>G43/Sankey_diag!$K$57</f>
        <v>6.0635507007366203E-2</v>
      </c>
      <c r="I43" s="213">
        <f>G43/(Sankey_diag!$H$3+Sankey_diag!$H$29+Sankey_diag!$H$44+Sankey_diag!$H$51)</f>
        <v>6.8495332537245471E-3</v>
      </c>
      <c r="J43" s="305">
        <v>1</v>
      </c>
      <c r="K43" s="305"/>
      <c r="L43" s="213">
        <f>VLOOKUP(E43,Admin_2024!$G$2:$AA$138,14,FALSE)</f>
        <v>1</v>
      </c>
      <c r="M43" s="247" t="str">
        <f>VLOOKUP(E43,Admin_2024!$G$2:$AA$138,13,FALSE)</f>
        <v>% de nourriture végé au sein de l'administration + les évènements communaux</v>
      </c>
      <c r="N43" s="11">
        <f>VLOOKUP(E43,Admin_2024!$G$2:$AA$138,16,FALSE)</f>
        <v>0</v>
      </c>
    </row>
    <row r="44" spans="1:17" ht="28.8" x14ac:dyDescent="0.3">
      <c r="A44" s="461"/>
      <c r="B44" s="461"/>
      <c r="C44" s="461"/>
      <c r="D44" s="461" t="str">
        <f>Admin_2024!E23</f>
        <v>Consommer local et de saison</v>
      </c>
      <c r="E44" s="247" t="str">
        <f>Admin_2024!G23</f>
        <v xml:space="preserve">Favoriser le circuit-court et de saison pour des évènement communaux. </v>
      </c>
      <c r="F44" s="15" t="s">
        <v>718</v>
      </c>
      <c r="G44" s="259">
        <f>VLOOKUP(E44,Admin_2024!$G$2:$AA$138,21,FALSE)</f>
        <v>4.4752469999999995</v>
      </c>
      <c r="H44" s="213">
        <f>G44/Sankey_diag!$K$57</f>
        <v>1.0779645690198437E-2</v>
      </c>
      <c r="I44" s="213">
        <f>G44/(Sankey_diag!$H$3+Sankey_diag!$H$29+Sankey_diag!$H$44+Sankey_diag!$H$51)</f>
        <v>1.2176948006621417E-3</v>
      </c>
      <c r="J44" s="305">
        <v>2</v>
      </c>
      <c r="K44" s="305"/>
      <c r="L44" s="213">
        <f>VLOOKUP(E44,Admin_2024!$G$2:$AA$138,14,FALSE)</f>
        <v>0.75</v>
      </c>
      <c r="M44" s="247" t="str">
        <f>VLOOKUP(E44,Admin_2024!$G$2:$AA$138,13,FALSE)</f>
        <v>% d'évènements avec plus de 75% de nourriture issue de produit circuit-court</v>
      </c>
      <c r="N44" s="11">
        <f>VLOOKUP(E44,Admin_2024!$G$2:$AA$138,16,FALSE)</f>
        <v>0</v>
      </c>
    </row>
    <row r="45" spans="1:17" x14ac:dyDescent="0.3">
      <c r="A45" s="461"/>
      <c r="B45" s="461"/>
      <c r="C45" s="461"/>
      <c r="D45" s="461"/>
      <c r="E45" s="247" t="str">
        <f>Admin_2024!G24</f>
        <v>Mettre en place un potager communal</v>
      </c>
      <c r="F45" s="15" t="s">
        <v>718</v>
      </c>
      <c r="G45" s="259">
        <f>VLOOKUP(E45,Admin_2024!$G$2:$AA$138,21,FALSE)</f>
        <v>0</v>
      </c>
      <c r="H45" s="213">
        <f>G45/Sankey_diag!$K$57</f>
        <v>0</v>
      </c>
      <c r="I45" s="213">
        <f>G45/(Sankey_diag!$H$3+Sankey_diag!$H$29+Sankey_diag!$H$44+Sankey_diag!$H$51)</f>
        <v>0</v>
      </c>
      <c r="J45" s="305">
        <v>3</v>
      </c>
      <c r="K45" s="305"/>
      <c r="L45" s="295">
        <f>VLOOKUP(E45,Admin_2024!$G$2:$AA$138,14,FALSE)</f>
        <v>1</v>
      </c>
      <c r="M45" s="247" t="str">
        <f>VLOOKUP(E45,Admin_2024!$G$2:$AA$138,13,FALSE)</f>
        <v>Quantité (ou m2) de potagers communaux mis en place</v>
      </c>
      <c r="N45" s="11">
        <f>VLOOKUP(E45,Admin_2024!$G$2:$AA$138,16,FALSE)</f>
        <v>0</v>
      </c>
    </row>
    <row r="46" spans="1:17" ht="28.8" x14ac:dyDescent="0.3">
      <c r="A46" s="461"/>
      <c r="B46" s="461"/>
      <c r="C46" s="461"/>
      <c r="D46" s="461"/>
      <c r="E46" s="247" t="str">
        <f>Admin_2024!G26</f>
        <v>Sensibiliser les jeunes à l’intérêt de consommer local et de saison via le developpement de potagers dans les écoles et l'organisation d'une semaine de l'alimentation durable (territoire)</v>
      </c>
      <c r="F46" s="15" t="s">
        <v>720</v>
      </c>
      <c r="G46" s="259">
        <f>VLOOKUP(E46,Admin_2024!$G$2:$AA$138,21,FALSE)</f>
        <v>0</v>
      </c>
      <c r="H46" s="213">
        <f>G46/Sankey_diag!$K$57</f>
        <v>0</v>
      </c>
      <c r="I46" s="213">
        <f>G46/(Sankey_diag!$H$3+Sankey_diag!$H$29+Sankey_diag!$H$44+Sankey_diag!$H$51)</f>
        <v>0</v>
      </c>
      <c r="J46" s="305">
        <v>2</v>
      </c>
      <c r="K46" s="305"/>
      <c r="L46" s="213">
        <f>VLOOKUP(E46,Admin_2024!$G$2:$AA$138,14,FALSE)</f>
        <v>0.75</v>
      </c>
      <c r="M46" s="247" t="str">
        <f>VLOOKUP(E46,Admin_2024!$G$2:$AA$138,13,FALSE)</f>
        <v>% école avec potager</v>
      </c>
      <c r="N46" s="11">
        <f>VLOOKUP(E46,Admin_2024!$G$2:$AA$138,16,FALSE)</f>
        <v>0</v>
      </c>
    </row>
    <row r="47" spans="1:17" x14ac:dyDescent="0.3">
      <c r="A47" s="461"/>
      <c r="B47" s="461"/>
      <c r="C47" s="461"/>
      <c r="D47" s="461"/>
      <c r="E47" s="247" t="str">
        <f>Admin_2024!G27</f>
        <v>Proposer des recettes de saison hebdomadaires sur l'intranet</v>
      </c>
      <c r="F47" s="15" t="s">
        <v>720</v>
      </c>
      <c r="G47" s="259">
        <f>VLOOKUP(E47,Admin_2024!$G$2:$AA$138,21,FALSE)</f>
        <v>0</v>
      </c>
      <c r="H47" s="213">
        <f>G47/Sankey_diag!$K$57</f>
        <v>0</v>
      </c>
      <c r="I47" s="213">
        <f>G47/(Sankey_diag!$H$3+Sankey_diag!$H$29+Sankey_diag!$H$44+Sankey_diag!$H$51)</f>
        <v>0</v>
      </c>
      <c r="J47" s="305">
        <v>3</v>
      </c>
      <c r="K47" s="305"/>
      <c r="L47" s="295">
        <f>VLOOKUP(E47,Admin_2024!$G$2:$AA$138,14,FALSE)</f>
        <v>1</v>
      </c>
      <c r="M47" s="247" t="str">
        <f>VLOOKUP(E47,Admin_2024!$G$2:$AA$138,13,FALSE)</f>
        <v>Recette publiée/semaine</v>
      </c>
      <c r="N47" s="11">
        <f>VLOOKUP(E47,Admin_2024!$G$2:$AA$138,16,FALSE)</f>
        <v>0</v>
      </c>
    </row>
    <row r="48" spans="1:17" x14ac:dyDescent="0.3">
      <c r="A48" s="461"/>
      <c r="B48" s="461"/>
      <c r="C48" s="461"/>
      <c r="D48" s="461"/>
      <c r="E48" s="247" t="str">
        <f>Admin_2024!G28</f>
        <v>Proposer des produits locaux et de saison dans les écoles et les crèches</v>
      </c>
      <c r="F48" s="15" t="s">
        <v>718</v>
      </c>
      <c r="G48" s="259">
        <f>VLOOKUP(E48,Admin_2024!$G$2:$AA$138,21,FALSE)</f>
        <v>26.783741250000002</v>
      </c>
      <c r="H48" s="213">
        <f>G48/Sankey_diag!$K$57</f>
        <v>6.4514705206875203E-2</v>
      </c>
      <c r="I48" s="213">
        <f>G48/(Sankey_diag!$H$3+Sankey_diag!$H$29+Sankey_diag!$H$44+Sankey_diag!$H$51)</f>
        <v>7.2877368472410884E-3</v>
      </c>
      <c r="J48" s="305">
        <v>1</v>
      </c>
      <c r="K48" s="305"/>
      <c r="L48" s="213">
        <f>VLOOKUP(E48,Admin_2024!$G$2:$AA$138,14,FALSE)</f>
        <v>0.75</v>
      </c>
      <c r="M48" s="247" t="str">
        <f>VLOOKUP(E48,Admin_2024!$G$2:$AA$138,13,FALSE)</f>
        <v>% des produits de saison et locaux dans les écoles</v>
      </c>
      <c r="N48" s="11">
        <f>VLOOKUP(E48,Admin_2024!$G$2:$AA$138,16,FALSE)</f>
        <v>0</v>
      </c>
    </row>
    <row r="49" spans="1:17" x14ac:dyDescent="0.3">
      <c r="A49" s="461"/>
      <c r="B49" s="461"/>
      <c r="C49" s="461"/>
      <c r="D49" s="461"/>
      <c r="E49" s="247" t="str">
        <f>Admin_2024!G29</f>
        <v>Créer un catalogue "catering durable" pour les événements  avec une liste de producteurs locaux</v>
      </c>
      <c r="F49" s="15" t="s">
        <v>720</v>
      </c>
      <c r="G49" s="259">
        <f>VLOOKUP(E49,Admin_2024!$G$2:$AA$138,21,FALSE)</f>
        <v>0</v>
      </c>
      <c r="H49" s="213">
        <f>G49/Sankey_diag!$K$57</f>
        <v>0</v>
      </c>
      <c r="I49" s="213">
        <f>G49/(Sankey_diag!$H$3+Sankey_diag!$H$29+Sankey_diag!$H$44+Sankey_diag!$H$51)</f>
        <v>0</v>
      </c>
      <c r="J49" s="305">
        <v>2</v>
      </c>
      <c r="K49" s="305"/>
      <c r="L49" s="295">
        <f>VLOOKUP(E49,Admin_2024!$G$2:$AA$138,14,FALSE)</f>
        <v>1</v>
      </c>
      <c r="M49" s="247" t="str">
        <f>VLOOKUP(E49,Admin_2024!$G$2:$AA$138,13,FALSE)</f>
        <v>Catalogue disponible</v>
      </c>
      <c r="N49" s="11">
        <f>VLOOKUP(E49,Admin_2024!$G$2:$AA$138,16,FALSE)</f>
        <v>0</v>
      </c>
    </row>
    <row r="50" spans="1:17" ht="30.75" customHeight="1" x14ac:dyDescent="0.3">
      <c r="A50" s="461"/>
      <c r="B50" s="461"/>
      <c r="C50" s="461"/>
      <c r="D50" s="461" t="str">
        <f>Admin_2024!E33</f>
        <v>Promouvoir l'alimentaiton durable de manière générale</v>
      </c>
      <c r="E50" s="247" t="str">
        <f>Admin_2024!G34</f>
        <v>Obtenir le Label Good Food Cantine pour les écoles</v>
      </c>
      <c r="F50" s="15" t="s">
        <v>718</v>
      </c>
      <c r="G50" s="259">
        <f>VLOOKUP(E50,Admin_2024!$G$2:$AA$138,21,FALSE)</f>
        <v>64.448377382812509</v>
      </c>
      <c r="H50" s="213">
        <f>G50/Sankey_diag!$K$57</f>
        <v>0.15523850940404349</v>
      </c>
      <c r="I50" s="213">
        <f>G50/(Sankey_diag!$H$3+Sankey_diag!$H$29+Sankey_diag!$H$44+Sankey_diag!$H$51)</f>
        <v>1.753611678867387E-2</v>
      </c>
      <c r="J50" s="305">
        <v>1</v>
      </c>
      <c r="K50" s="305"/>
      <c r="L50" s="213">
        <f>VLOOKUP(E50,Admin_2024!$G$2:$AA$138,14,FALSE)</f>
        <v>0.5</v>
      </c>
      <c r="M50" s="247" t="str">
        <f>VLOOKUP(E50,Admin_2024!$G$2:$AA$138,13,FALSE)</f>
        <v>% des écoles avec le label Good Food Cantine de Bruxelles Environnement.</v>
      </c>
      <c r="N50" s="11">
        <f>VLOOKUP(E50,Admin_2024!$G$2:$AA$138,16,FALSE)</f>
        <v>0</v>
      </c>
    </row>
    <row r="51" spans="1:17" ht="33" customHeight="1" x14ac:dyDescent="0.3">
      <c r="A51" s="461"/>
      <c r="B51" s="461"/>
      <c r="C51" s="461"/>
      <c r="D51" s="461"/>
      <c r="E51" s="247" t="str">
        <f>Admin_2024!G35</f>
        <v>Recourir à des foodtrucks électriques de repas sains pour les événements</v>
      </c>
      <c r="F51" s="15" t="s">
        <v>718</v>
      </c>
      <c r="G51" s="259">
        <f>VLOOKUP(E51,Admin_2024!$G$2:$AA$138,21,FALSE)</f>
        <v>0</v>
      </c>
      <c r="H51" s="213">
        <f>G51/Sankey_diag!$K$57</f>
        <v>0</v>
      </c>
      <c r="I51" s="213">
        <f>G51/(Sankey_diag!$H$3+Sankey_diag!$H$29+Sankey_diag!$H$44+Sankey_diag!$H$51)</f>
        <v>0</v>
      </c>
      <c r="J51" s="305">
        <v>3</v>
      </c>
      <c r="K51" s="305"/>
      <c r="L51" s="213">
        <f>VLOOKUP(E51,Admin_2024!$G$2:$AA$138,14,FALSE)</f>
        <v>0</v>
      </c>
      <c r="M51" s="247">
        <f>VLOOKUP(E51,Admin_2024!$G$2:$AA$138,13,FALSE)</f>
        <v>0</v>
      </c>
      <c r="N51" s="11">
        <f>VLOOKUP(E51,Admin_2024!$G$2:$AA$138,16,FALSE)</f>
        <v>0</v>
      </c>
    </row>
    <row r="52" spans="1:17" ht="20.399999999999999" customHeight="1" x14ac:dyDescent="0.3">
      <c r="A52" s="461"/>
      <c r="B52" s="461"/>
      <c r="C52" s="461"/>
      <c r="D52" s="461" t="str">
        <f>Admin_2024!E36</f>
        <v>Promouvoir les produits biologiques</v>
      </c>
      <c r="E52" s="247" t="str">
        <f>Admin_2024!G36</f>
        <v>Proposer des produits biologiques dans les écoles et les crèches</v>
      </c>
      <c r="F52" s="15" t="s">
        <v>718</v>
      </c>
      <c r="G52" s="259">
        <f>VLOOKUP(E52,Admin_2024!$G$2:$AA$138,21,FALSE)</f>
        <v>1.7855827500000003</v>
      </c>
      <c r="H52" s="213">
        <f>G52/Sankey_diag!$K$57</f>
        <v>4.3009803471250148E-3</v>
      </c>
      <c r="I52" s="213">
        <f>G52/(Sankey_diag!$H$3+Sankey_diag!$H$29+Sankey_diag!$H$44+Sankey_diag!$H$51)</f>
        <v>4.8584912314940593E-4</v>
      </c>
      <c r="J52" s="305">
        <v>2</v>
      </c>
      <c r="K52" s="305"/>
      <c r="L52" s="213">
        <f>VLOOKUP(E52,Admin_2024!$G$2:$AA$138,14,FALSE)</f>
        <v>0.2</v>
      </c>
      <c r="M52" s="247" t="str">
        <f>VLOOKUP(E52,Admin_2024!$G$2:$AA$138,13,FALSE)</f>
        <v>% de produit biologiques (en kg )</v>
      </c>
      <c r="N52" s="11">
        <f>VLOOKUP(E52,Admin_2024!$G$2:$AA$138,16,FALSE)</f>
        <v>0</v>
      </c>
    </row>
    <row r="53" spans="1:17" x14ac:dyDescent="0.3">
      <c r="A53" s="461"/>
      <c r="B53" s="461"/>
      <c r="C53" s="461"/>
      <c r="D53" s="461"/>
      <c r="E53" s="247" t="str">
        <f>Admin_2024!G37</f>
        <v>Recourir à des commerces locaux BIO pour les évenements communaux (pas Colruyt uniquement)</v>
      </c>
      <c r="F53" s="15" t="s">
        <v>718</v>
      </c>
      <c r="G53" s="259">
        <f>VLOOKUP(E53,Admin_2024!$G$2:$AA$138,21,FALSE)</f>
        <v>1.0655349999999999</v>
      </c>
      <c r="H53" s="213">
        <f>G53/Sankey_diag!$K$57</f>
        <v>2.5665823071901041E-3</v>
      </c>
      <c r="I53" s="213">
        <f>G53/(Sankey_diag!$H$3+Sankey_diag!$H$29+Sankey_diag!$H$44+Sankey_diag!$H$51)</f>
        <v>2.8992733349098612E-4</v>
      </c>
      <c r="J53" s="305">
        <v>2</v>
      </c>
      <c r="K53" s="305"/>
      <c r="L53" s="213">
        <f>VLOOKUP(E53,Admin_2024!$G$2:$AA$138,14,FALSE)</f>
        <v>0.5</v>
      </c>
      <c r="M53" s="247" t="str">
        <f>VLOOKUP(E53,Admin_2024!$G$2:$AA$138,13,FALSE)</f>
        <v>% d'évènement via commerces locales bio</v>
      </c>
      <c r="N53" s="11">
        <f>VLOOKUP(E53,Admin_2024!$G$2:$AA$138,16,FALSE)</f>
        <v>0</v>
      </c>
    </row>
    <row r="54" spans="1:17" ht="28.8" x14ac:dyDescent="0.3">
      <c r="A54" s="461"/>
      <c r="B54" s="461"/>
      <c r="C54" s="461"/>
      <c r="D54" s="245" t="str">
        <f>Admin_2024!E38</f>
        <v>Réduire le gaspillage alimentaire</v>
      </c>
      <c r="E54" s="247" t="str">
        <f>Admin_2024!G38</f>
        <v>Valoriser les invendus des magasins, des restaurants ainsi que des traiteurs des événements communaux: magasins solidaires, restaurants sociaux etc. (ToGoodToGo)</v>
      </c>
      <c r="F54" s="15" t="s">
        <v>715</v>
      </c>
      <c r="G54" s="259">
        <f>VLOOKUP(E54,Admin_2024!$G$2:$AA$138,21,FALSE)</f>
        <v>0</v>
      </c>
      <c r="H54" s="213">
        <f>G54/Sankey_diag!$K$57</f>
        <v>0</v>
      </c>
      <c r="I54" s="213">
        <f>G54/(Sankey_diag!$H$3+Sankey_diag!$H$29+Sankey_diag!$H$44+Sankey_diag!$H$51)</f>
        <v>0</v>
      </c>
      <c r="J54" s="305">
        <v>3</v>
      </c>
      <c r="K54" s="305"/>
      <c r="L54" s="213">
        <f>VLOOKUP(E54,Admin_2024!$G$2:$AA$138,14,FALSE)</f>
        <v>0.8</v>
      </c>
      <c r="M54" s="247" t="str">
        <f>VLOOKUP(E54,Admin_2024!$G$2:$AA$138,13,FALSE)</f>
        <v>% d'évènement avec des invendus revalorisés</v>
      </c>
      <c r="N54" s="11">
        <f>VLOOKUP(E54,Admin_2024!$G$2:$AA$138,16,FALSE)</f>
        <v>0</v>
      </c>
    </row>
    <row r="55" spans="1:17" ht="6" customHeight="1" x14ac:dyDescent="0.3">
      <c r="A55" s="251"/>
      <c r="B55" s="251"/>
      <c r="C55" s="251"/>
      <c r="D55" s="251"/>
      <c r="E55" s="298"/>
      <c r="F55" s="257"/>
      <c r="G55" s="296"/>
      <c r="H55" s="296"/>
      <c r="I55" s="296"/>
      <c r="J55" s="304"/>
      <c r="K55" s="304"/>
      <c r="L55" s="296"/>
      <c r="M55" s="257"/>
      <c r="N55" s="296"/>
      <c r="O55" s="251"/>
      <c r="P55" s="251"/>
      <c r="Q55" s="251"/>
    </row>
    <row r="56" spans="1:17" ht="57.6" customHeight="1" x14ac:dyDescent="0.3">
      <c r="A56" s="462" t="str">
        <f>Admin_2024!B2</f>
        <v>Achats durables / Duurzame aankopen</v>
      </c>
      <c r="B56" s="461" t="s">
        <v>725</v>
      </c>
      <c r="C56" s="461" t="str">
        <f>Admin_2024!D2</f>
        <v xml:space="preserve">OS 4 Intégrer les principes du Green Public Procurement pour diminuer les émissions des achats en tenant compte de leur cycle de vie
SD 4 De principes van Green Public Procurement integreren om de uitstoot van aankopen te verminderen rekening houdend met hun levenscyclus </v>
      </c>
      <c r="D56" s="461" t="str">
        <f>Admin_2024!E8</f>
        <v>Stimuler le partage et mutualisation des produit/outils "economie de partage"</v>
      </c>
      <c r="E56" s="247" t="str">
        <f>Admin_2024!G8</f>
        <v xml:space="preserve">Réduire les appareils individuels en faveur d'outils collectifs (imprimantes, machines à café…) - après leur fin de vie. </v>
      </c>
      <c r="F56" s="15" t="s">
        <v>715</v>
      </c>
      <c r="G56" s="259">
        <f>VLOOKUP(E56,Admin_2024!$G$2:$AA$138,21,FALSE)</f>
        <v>0</v>
      </c>
      <c r="H56" s="213">
        <f>G56/(Sankey_diag!$K$55+Sankey_diag!$K$54+Sankey_diag!$K$53+Sankey_diag!$K$51)</f>
        <v>0</v>
      </c>
      <c r="I56" s="213">
        <f>G56/Sankey_diag!$H$62</f>
        <v>0</v>
      </c>
      <c r="J56" s="305">
        <v>1</v>
      </c>
      <c r="K56" s="305"/>
      <c r="L56" s="213">
        <f>VLOOKUP(E56,Admin_2024!$G$2:$AA$138,14,FALSE)</f>
        <v>0.8</v>
      </c>
      <c r="M56" s="247" t="str">
        <f>VLOOKUP(E56,Admin_2024!$G$2:$AA$138,13,FALSE)</f>
        <v>% appareils mutualisés</v>
      </c>
      <c r="N56" s="11">
        <f>VLOOKUP(E56,Admin_2024!$G$2:$AA$138,16,FALSE)</f>
        <v>0</v>
      </c>
    </row>
    <row r="57" spans="1:17" ht="28.8" x14ac:dyDescent="0.3">
      <c r="A57" s="462"/>
      <c r="B57" s="461"/>
      <c r="C57" s="461"/>
      <c r="D57" s="461"/>
      <c r="E57" s="247" t="str">
        <f>Admin_2024!G9</f>
        <v>Favoriser l'économie fonctionnelle</v>
      </c>
      <c r="F57" s="15" t="s">
        <v>715</v>
      </c>
      <c r="G57" s="259">
        <f>VLOOKUP(E57,Admin_2024!$G$2:$AA$138,21,FALSE)</f>
        <v>0</v>
      </c>
      <c r="H57" s="213">
        <f>G57/(Sankey_diag!$K$55+Sankey_diag!$K$54+Sankey_diag!$K$53+Sankey_diag!$K$51)</f>
        <v>0</v>
      </c>
      <c r="I57" s="213">
        <f>G57/Sankey_diag!$H$62</f>
        <v>0</v>
      </c>
      <c r="J57" s="305">
        <v>1</v>
      </c>
      <c r="K57" s="305"/>
      <c r="L57" s="11">
        <f>VLOOKUP(E57,Admin_2024!$G$2:$AA$138,14,FALSE)</f>
        <v>5</v>
      </c>
      <c r="M57" s="247" t="str">
        <f>VLOOKUP(E57,Admin_2024!$G$2:$AA$138,13,FALSE)</f>
        <v>Quantité d'achats évité via recours à économie fonctionnelle</v>
      </c>
      <c r="N57" s="11">
        <f>VLOOKUP(E57,Admin_2024!$G$2:$AA$138,16,FALSE)</f>
        <v>0</v>
      </c>
    </row>
    <row r="58" spans="1:17" x14ac:dyDescent="0.3">
      <c r="A58" s="462"/>
      <c r="B58" s="461"/>
      <c r="C58" s="461"/>
      <c r="D58" s="461"/>
      <c r="E58" s="247" t="str">
        <f>Admin_2024!G10</f>
        <v>Acheter/Louer des machines en commun avec d'autres administrations</v>
      </c>
      <c r="F58" s="15" t="s">
        <v>715</v>
      </c>
      <c r="G58" s="259">
        <f>VLOOKUP(E58,Admin_2024!$G$2:$AA$138,21,FALSE)</f>
        <v>0</v>
      </c>
      <c r="H58" s="213">
        <f>G58/(Sankey_diag!$K$55+Sankey_diag!$K$54+Sankey_diag!$K$53+Sankey_diag!$K$51)</f>
        <v>0</v>
      </c>
      <c r="I58" s="213">
        <f>G58/Sankey_diag!$H$62</f>
        <v>0</v>
      </c>
      <c r="J58" s="305">
        <v>1</v>
      </c>
      <c r="K58" s="305"/>
      <c r="L58" s="11">
        <f>VLOOKUP(E58,Admin_2024!$G$2:$AA$138,14,FALSE)</f>
        <v>5</v>
      </c>
      <c r="M58" s="247" t="str">
        <f>VLOOKUP(E58,Admin_2024!$G$2:$AA$138,13,FALSE)</f>
        <v>Quantité d'achats en commun</v>
      </c>
      <c r="N58" s="11">
        <f>VLOOKUP(E58,Admin_2024!$G$2:$AA$138,16,FALSE)</f>
        <v>0</v>
      </c>
    </row>
    <row r="59" spans="1:17" x14ac:dyDescent="0.3">
      <c r="A59" s="462"/>
      <c r="B59" s="461"/>
      <c r="C59" s="461"/>
      <c r="D59" s="461"/>
      <c r="E59" s="247" t="str">
        <f>Admin_2024!G11</f>
        <v>Libérer un epace de stockage pour mettre en commun des machines, du matériel et des matériaux de chantier</v>
      </c>
      <c r="F59" s="15" t="s">
        <v>715</v>
      </c>
      <c r="G59" s="259">
        <f>VLOOKUP(E59,Admin_2024!$G$2:$AA$138,21,FALSE)</f>
        <v>0</v>
      </c>
      <c r="H59" s="213">
        <f>G59/(Sankey_diag!$K$55+Sankey_diag!$K$54+Sankey_diag!$K$53+Sankey_diag!$K$51)</f>
        <v>0</v>
      </c>
      <c r="I59" s="213">
        <f>G59/Sankey_diag!$H$62</f>
        <v>0</v>
      </c>
      <c r="J59" s="305">
        <v>1</v>
      </c>
      <c r="K59" s="305"/>
      <c r="L59" s="11">
        <f>VLOOKUP(E59,Admin_2024!$G$2:$AA$138,14,FALSE)</f>
        <v>1</v>
      </c>
      <c r="M59" s="247" t="str">
        <f>VLOOKUP(E59,Admin_2024!$G$2:$AA$138,13,FALSE)</f>
        <v>Espace de stockage disponible, utilisé et connu</v>
      </c>
      <c r="N59" s="11">
        <f>VLOOKUP(E59,Admin_2024!$G$2:$AA$138,16,FALSE)</f>
        <v>0</v>
      </c>
    </row>
    <row r="60" spans="1:17" ht="84" customHeight="1" x14ac:dyDescent="0.3">
      <c r="A60" s="462"/>
      <c r="B60" s="461"/>
      <c r="C60" s="461"/>
      <c r="D60" s="244" t="str">
        <f>Admin_2024!E2</f>
        <v>Améliorer la connaissance et faire un monitoring des produit et achats (durables)</v>
      </c>
      <c r="E60" s="247" t="str">
        <f>Admin_2024!G2</f>
        <v>Faire un inventaire annuel dans les services (éviter les stocks inutiles, matériel pertinent...)</v>
      </c>
      <c r="F60" s="15" t="s">
        <v>715</v>
      </c>
      <c r="G60" s="259">
        <f>VLOOKUP(E60,Admin_2024!$G$2:$AA$138,21,FALSE)</f>
        <v>0</v>
      </c>
      <c r="H60" s="213">
        <f>G60/(Sankey_diag!$K$55+Sankey_diag!$K$54+Sankey_diag!$K$53+Sankey_diag!$K$51)</f>
        <v>0</v>
      </c>
      <c r="I60" s="213">
        <f>G60/Sankey_diag!$H$62</f>
        <v>0</v>
      </c>
      <c r="J60" s="305">
        <v>1</v>
      </c>
      <c r="K60" s="305"/>
      <c r="L60" s="213">
        <f>VLOOKUP(E60,Admin_2024!$G$2:$AA$138,14,FALSE)</f>
        <v>1</v>
      </c>
      <c r="M60" s="247" t="str">
        <f>VLOOKUP(E60,Admin_2024!$G$2:$AA$138,13,FALSE)</f>
        <v>% service ayant réalisés leur inventaire</v>
      </c>
      <c r="N60" s="11">
        <f>VLOOKUP(E60,Admin_2024!$G$2:$AA$138,16,FALSE)</f>
        <v>0</v>
      </c>
    </row>
    <row r="61" spans="1:17" ht="28.8" x14ac:dyDescent="0.3">
      <c r="A61" s="462"/>
      <c r="B61" s="461"/>
      <c r="C61" s="461"/>
      <c r="D61" s="461" t="str">
        <f>Admin_2024!E3</f>
        <v>Développer une stratégie claire pour des achats durables en tenant compte du réemploi</v>
      </c>
      <c r="E61" s="247" t="str">
        <f>Admin_2024!G3</f>
        <v>Créer une stratégie des marchés/achats à durabiliser en priorité (Insérer des critères écologiques, sociaux, éthiques et durables)</v>
      </c>
      <c r="F61" s="15" t="s">
        <v>721</v>
      </c>
      <c r="G61" s="259">
        <f>VLOOKUP(E61,Admin_2024!$G$2:$AA$138,21,FALSE)</f>
        <v>0</v>
      </c>
      <c r="H61" s="213">
        <f>G61/(Sankey_diag!$K$55+Sankey_diag!$K$54+Sankey_diag!$K$53+Sankey_diag!$K$51)</f>
        <v>0</v>
      </c>
      <c r="I61" s="213">
        <f>G61/Sankey_diag!$H$62</f>
        <v>0</v>
      </c>
      <c r="J61" s="305">
        <v>1</v>
      </c>
      <c r="K61" s="305"/>
      <c r="L61" s="11">
        <f>VLOOKUP(E61,Admin_2024!$G$2:$AA$138,14,FALSE)</f>
        <v>1</v>
      </c>
      <c r="M61" s="247" t="str">
        <f>VLOOKUP(E61,Admin_2024!$G$2:$AA$138,13,FALSE)</f>
        <v>Stratégie en place avec priorités + clause type + critère d'évaluation</v>
      </c>
      <c r="N61" s="11">
        <f>VLOOKUP(E61,Admin_2024!$G$2:$AA$138,16,FALSE)</f>
        <v>0</v>
      </c>
    </row>
    <row r="62" spans="1:17" ht="43.2" x14ac:dyDescent="0.3">
      <c r="A62" s="462"/>
      <c r="B62" s="461"/>
      <c r="C62" s="461"/>
      <c r="D62" s="461"/>
      <c r="E62" s="247" t="str">
        <f>Admin_2024!G4</f>
        <v xml:space="preserve">Limiter toute acquisition de nouveaux objets en plastique au stricte nécessaire (clause marché public). </v>
      </c>
      <c r="F62" s="15" t="s">
        <v>715</v>
      </c>
      <c r="G62" s="259">
        <f>VLOOKUP(E62,Admin_2024!$G$2:$AA$138,21,FALSE)</f>
        <v>0</v>
      </c>
      <c r="H62" s="213">
        <f>G62/(Sankey_diag!$K$55+Sankey_diag!$K$54+Sankey_diag!$K$53+Sankey_diag!$K$51)</f>
        <v>0</v>
      </c>
      <c r="I62" s="213">
        <f>G62/Sankey_diag!$H$62</f>
        <v>0</v>
      </c>
      <c r="J62" s="305">
        <v>3</v>
      </c>
      <c r="K62" s="305"/>
      <c r="L62" s="11">
        <v>1</v>
      </c>
      <c r="M62" s="247" t="str">
        <f>VLOOKUP(E62,Admin_2024!$G$2:$AA$138,13,FALSE)</f>
        <v>Inventaire produit plastique achetés + recommendations de replacement + directive de non utilisation + check fait par achat</v>
      </c>
      <c r="N62" s="11">
        <f>VLOOKUP(E62,Admin_2024!$G$2:$AA$138,16,FALSE)</f>
        <v>0</v>
      </c>
    </row>
    <row r="63" spans="1:17" x14ac:dyDescent="0.3">
      <c r="A63" s="462"/>
      <c r="B63" s="461"/>
      <c r="C63" s="461"/>
      <c r="D63" s="461"/>
      <c r="E63" s="247" t="str">
        <f>Admin_2024!G5</f>
        <v>Acheter du matériel IT durable, en collaboration avec le CRIB (e.g. TCO label)</v>
      </c>
      <c r="F63" s="15" t="s">
        <v>723</v>
      </c>
      <c r="G63" s="259">
        <f>VLOOKUP(E63,Admin_2024!$G$2:$AA$138,21,FALSE)</f>
        <v>35.076000000000008</v>
      </c>
      <c r="H63" s="213">
        <f>G63/(Sankey_diag!$K$55+Sankey_diag!$K$54+Sankey_diag!$K$53+Sankey_diag!$K$51)</f>
        <v>0.1191318819413783</v>
      </c>
      <c r="I63" s="213">
        <f>G63/Sankey_diag!$H$62</f>
        <v>9.5440235651854076E-3</v>
      </c>
      <c r="J63" s="305">
        <v>1</v>
      </c>
      <c r="K63" s="305"/>
      <c r="L63" s="213">
        <f>VLOOKUP(E63,Admin_2024!$G$2:$AA$138,14,FALSE)</f>
        <v>0.75</v>
      </c>
      <c r="M63" s="247" t="str">
        <f>VLOOKUP(E63,Admin_2024!$G$2:$AA$138,13,FALSE)</f>
        <v>% d'IT durable dans les nouveaux achats</v>
      </c>
      <c r="N63" s="11">
        <f>VLOOKUP(E63,Admin_2024!$G$2:$AA$138,16,FALSE)</f>
        <v>0</v>
      </c>
    </row>
    <row r="64" spans="1:17" ht="43.2" x14ac:dyDescent="0.3">
      <c r="A64" s="462"/>
      <c r="B64" s="461"/>
      <c r="C64" s="461"/>
      <c r="D64" s="244" t="str">
        <f>Admin_2024!E7</f>
        <v>Sensibiliser et changer les comportements lié aux achats durables</v>
      </c>
      <c r="E64" s="247" t="str">
        <f>Admin_2024!G7</f>
        <v>Sensibiliser le personnel aux achats durables (trucs et astuces…)</v>
      </c>
      <c r="F64" s="15" t="s">
        <v>720</v>
      </c>
      <c r="G64" s="259">
        <f>VLOOKUP(E64,Admin_2024!$G$2:$AA$138,21,FALSE)</f>
        <v>0</v>
      </c>
      <c r="H64" s="213">
        <f>G64/(Sankey_diag!$K$55+Sankey_diag!$K$54+Sankey_diag!$K$53+Sankey_diag!$K$51)</f>
        <v>0</v>
      </c>
      <c r="I64" s="213">
        <f>G64/Sankey_diag!$H$62</f>
        <v>0</v>
      </c>
      <c r="J64" s="305">
        <v>2</v>
      </c>
      <c r="K64" s="305"/>
      <c r="L64" s="11">
        <f>VLOOKUP(E64,Admin_2024!$G$2:$AA$138,14,FALSE)</f>
        <v>1</v>
      </c>
      <c r="M64" s="247" t="str">
        <f>VLOOKUP(E64,Admin_2024!$G$2:$AA$138,13,FALSE)</f>
        <v>Quantité de campagnes de sensibilisation / année</v>
      </c>
      <c r="N64" s="11">
        <f>VLOOKUP(E64,Admin_2024!$G$2:$AA$138,16,FALSE)</f>
        <v>0</v>
      </c>
    </row>
    <row r="65" spans="1:17" ht="28.8" x14ac:dyDescent="0.3">
      <c r="A65" s="462"/>
      <c r="B65" s="461"/>
      <c r="C65" s="461"/>
      <c r="D65" s="244" t="str">
        <f>Admin_2024!E6</f>
        <v>Réduire l'emballage des produits</v>
      </c>
      <c r="E65" s="247" t="str">
        <f>Admin_2024!G6</f>
        <v>Réduire les déchets sur de grosses commandes (éviter le suremballage)</v>
      </c>
      <c r="F65" s="15" t="s">
        <v>715</v>
      </c>
      <c r="G65" s="259">
        <f>VLOOKUP(E65,Admin_2024!$G$2:$AA$138,21,FALSE)</f>
        <v>0</v>
      </c>
      <c r="H65" s="213">
        <f>G65/(Sankey_diag!$K$55+Sankey_diag!$K$54+Sankey_diag!$K$53+Sankey_diag!$K$51)</f>
        <v>0</v>
      </c>
      <c r="I65" s="213">
        <f>G65/Sankey_diag!$H$62</f>
        <v>0</v>
      </c>
      <c r="J65" s="305">
        <v>3</v>
      </c>
      <c r="K65" s="305"/>
      <c r="L65" s="213">
        <f>VLOOKUP(E65,Admin_2024!$G$2:$AA$138,14,FALSE)</f>
        <v>0.75</v>
      </c>
      <c r="M65" s="247" t="str">
        <f>VLOOKUP(E65,Admin_2024!$G$2:$AA$138,13,FALSE)</f>
        <v>% réduction des déchets sur fourniture du bureau</v>
      </c>
      <c r="N65" s="11">
        <f>VLOOKUP(E65,Admin_2024!$G$2:$AA$138,16,FALSE)</f>
        <v>0</v>
      </c>
    </row>
    <row r="66" spans="1:17" ht="6" customHeight="1" x14ac:dyDescent="0.3">
      <c r="A66" s="251"/>
      <c r="B66" s="251"/>
      <c r="C66" s="251"/>
      <c r="D66" s="251"/>
      <c r="E66" s="298"/>
      <c r="F66" s="257"/>
      <c r="G66" s="296"/>
      <c r="H66" s="296"/>
      <c r="I66" s="296"/>
      <c r="J66" s="304"/>
      <c r="K66" s="304"/>
      <c r="L66" s="296"/>
      <c r="M66" s="257"/>
      <c r="N66" s="296"/>
      <c r="O66" s="251"/>
      <c r="P66" s="251"/>
      <c r="Q66" s="251"/>
    </row>
    <row r="67" spans="1:17" ht="57.6" x14ac:dyDescent="0.3">
      <c r="A67" s="461" t="str">
        <f>Admin_2024!B65</f>
        <v>Déchets / Afval</v>
      </c>
      <c r="B67" s="461" t="s">
        <v>726</v>
      </c>
      <c r="C67" s="461" t="str">
        <f>Admin_2024!D65</f>
        <v>OS 5 - PST 1.6.2. Faire vivre la démarche Zéro déchet au sein de l'administration 
SD 5-PST 1.6.2. Zero waste binnen het gemeentebestuur promoten</v>
      </c>
      <c r="D67" s="245" t="str">
        <f>Admin_2024!E66</f>
        <v>Intégrer l'écoconception des produits dans la politique d'achat</v>
      </c>
      <c r="E67" s="247" t="str">
        <f>Admin_2024!G66</f>
        <v>Acheter du mobilier facilement réparable (mobilier éco-conçu)</v>
      </c>
      <c r="F67" s="15" t="s">
        <v>727</v>
      </c>
      <c r="G67" s="259">
        <f>VLOOKUP(E67,Admin_2024!$G$2:$AA$138,21,FALSE)</f>
        <v>0</v>
      </c>
      <c r="H67" s="213">
        <f>G67/Sankey_diag!$H$44</f>
        <v>0</v>
      </c>
      <c r="I67" s="213">
        <f>G67/Sankey_diag!$H$62</f>
        <v>0</v>
      </c>
      <c r="J67" s="305">
        <v>2</v>
      </c>
      <c r="K67" s="305"/>
      <c r="L67" s="213">
        <f>VLOOKUP(E67,Admin_2024!$G$2:$AA$138,14,FALSE)</f>
        <v>0.7</v>
      </c>
      <c r="M67" s="247" t="str">
        <f>VLOOKUP(E67,Admin_2024!$G$2:$AA$138,13,FALSE)</f>
        <v>% de clause environnementale eco-conception intégré dans les achats</v>
      </c>
      <c r="N67" s="11">
        <f>VLOOKUP(E67,Admin_2024!$G$2:$AA$138,16,FALSE)</f>
        <v>0</v>
      </c>
    </row>
    <row r="68" spans="1:17" x14ac:dyDescent="0.3">
      <c r="A68" s="461"/>
      <c r="B68" s="461"/>
      <c r="C68" s="461"/>
      <c r="D68" s="461" t="str">
        <f>Admin_2024!E67</f>
        <v>Réutiliser des matériaux pour éviter des déchets et s'inscrire dans une économie circulaire, tendre vers zero déchets</v>
      </c>
      <c r="E68" s="247" t="str">
        <f>Admin_2024!G67</f>
        <v>Réutiliser les grandes affiches pour en faire des emballages cadeaux (ex: Noel)</v>
      </c>
      <c r="F68" s="15" t="s">
        <v>727</v>
      </c>
      <c r="G68" s="259">
        <f>VLOOKUP(E68,Admin_2024!$G$2:$AA$138,21,FALSE)</f>
        <v>1.2595320000000001E-4</v>
      </c>
      <c r="H68" s="213">
        <f>G68/Sankey_diag!$H$44</f>
        <v>3.3294949377815809E-7</v>
      </c>
      <c r="I68" s="213">
        <f>G68/Sankey_diag!$H$62</f>
        <v>3.4271305419959813E-8</v>
      </c>
      <c r="J68" s="305">
        <v>3</v>
      </c>
      <c r="K68" s="305"/>
      <c r="L68" s="213">
        <f>VLOOKUP(E68,Admin_2024!$G$2:$AA$138,14,FALSE)</f>
        <v>0.5</v>
      </c>
      <c r="M68" s="247" t="str">
        <f>VLOOKUP(E68,Admin_2024!$G$2:$AA$138,13,FALSE)</f>
        <v>% affiche réutilisé</v>
      </c>
      <c r="N68" s="11">
        <f>VLOOKUP(E68,Admin_2024!$G$2:$AA$138,16,FALSE)</f>
        <v>0</v>
      </c>
    </row>
    <row r="69" spans="1:17" x14ac:dyDescent="0.3">
      <c r="A69" s="461"/>
      <c r="B69" s="461"/>
      <c r="C69" s="461"/>
      <c r="D69" s="461"/>
      <c r="E69" s="247" t="str">
        <f>Admin_2024!G68</f>
        <v xml:space="preserve">Créer un listing du matériel pour organiser des events zéro déchet </v>
      </c>
      <c r="F69" s="15" t="s">
        <v>728</v>
      </c>
      <c r="G69" s="259">
        <f>VLOOKUP(E69,Admin_2024!$G$2:$AA$138,21,FALSE)</f>
        <v>0</v>
      </c>
      <c r="H69" s="213">
        <f>G69/Sankey_diag!$H$44</f>
        <v>0</v>
      </c>
      <c r="I69" s="213">
        <f>G69/Sankey_diag!$H$62</f>
        <v>0</v>
      </c>
      <c r="J69" s="305">
        <v>1</v>
      </c>
      <c r="K69" s="305"/>
      <c r="L69" s="11">
        <f>VLOOKUP(E69,Admin_2024!$G$2:$AA$138,14,FALSE)</f>
        <v>1</v>
      </c>
      <c r="M69" s="247" t="str">
        <f>VLOOKUP(E69,Admin_2024!$G$2:$AA$138,13,FALSE)</f>
        <v>Listing créé</v>
      </c>
      <c r="N69" s="11">
        <f>VLOOKUP(E69,Admin_2024!$G$2:$AA$138,16,FALSE)</f>
        <v>0</v>
      </c>
    </row>
    <row r="70" spans="1:17" ht="43.2" x14ac:dyDescent="0.3">
      <c r="A70" s="461"/>
      <c r="B70" s="461"/>
      <c r="C70" s="461"/>
      <c r="D70" s="461"/>
      <c r="E70" s="247" t="str">
        <f>Admin_2024!G69</f>
        <v xml:space="preserve">Digitaliser les processus et manière de travailler pour diminuer la consommation de papier </v>
      </c>
      <c r="F70" s="15" t="s">
        <v>728</v>
      </c>
      <c r="G70" s="259">
        <f>VLOOKUP(E70,Admin_2024!$G$2:$AA$138,21,FALSE)</f>
        <v>8.7800000000000011</v>
      </c>
      <c r="H70" s="213">
        <f>G70/Sankey_diag!$H$44</f>
        <v>2.320938694191357E-2</v>
      </c>
      <c r="I70" s="213">
        <f>G70/Sankey_diag!$H$62</f>
        <v>2.3889989423630936E-3</v>
      </c>
      <c r="J70" s="305">
        <v>1</v>
      </c>
      <c r="K70" s="305"/>
      <c r="L70" s="213">
        <f>VLOOKUP(E70,Admin_2024!$G$2:$AA$138,14,FALSE)</f>
        <v>0.5</v>
      </c>
      <c r="M70" s="247" t="str">
        <f>VLOOKUP(E70,Admin_2024!$G$2:$AA$138,13,FALSE)</f>
        <v>% de papier évité par la digitalisation / mieux avoir un KPI spécifique pour les processus et services à digitaliser (a élaborer)</v>
      </c>
      <c r="N70" s="11">
        <f>VLOOKUP(E70,Admin_2024!$G$2:$AA$138,16,FALSE)</f>
        <v>0</v>
      </c>
    </row>
    <row r="71" spans="1:17" ht="28.8" x14ac:dyDescent="0.3">
      <c r="A71" s="461"/>
      <c r="B71" s="461"/>
      <c r="C71" s="461"/>
      <c r="D71" s="461"/>
      <c r="E71" s="247" t="str">
        <f>Admin_2024!G70</f>
        <v>Placer des bacs à papier brouillon dans les copy corners et le récupérer pour en faire des blocs notes (à mettre au magasin)</v>
      </c>
      <c r="F71" s="15" t="s">
        <v>727</v>
      </c>
      <c r="G71" s="259">
        <f>VLOOKUP(E71,Admin_2024!$G$2:$AA$138,21,FALSE)</f>
        <v>0.19325000000000003</v>
      </c>
      <c r="H71" s="213">
        <f>G71/Sankey_diag!$H$44</f>
        <v>5.1084442215544395E-4</v>
      </c>
      <c r="I71" s="213">
        <f>G71/Sankey_diag!$H$62</f>
        <v>5.2582465331625038E-5</v>
      </c>
      <c r="J71" s="305">
        <v>2</v>
      </c>
      <c r="K71" s="305"/>
      <c r="L71" s="213">
        <f>VLOOKUP(E71,Admin_2024!$G$2:$AA$138,14,FALSE)</f>
        <v>2.5000000000000001E-2</v>
      </c>
      <c r="M71" s="247" t="str">
        <f>VLOOKUP(E71,Admin_2024!$G$2:$AA$138,13,FALSE)</f>
        <v>% de papier évité grâce à la récupération de papier brouillon</v>
      </c>
      <c r="N71" s="11">
        <f>VLOOKUP(E71,Admin_2024!$G$2:$AA$138,16,FALSE)</f>
        <v>0</v>
      </c>
    </row>
    <row r="72" spans="1:17" ht="28.8" x14ac:dyDescent="0.3">
      <c r="A72" s="461"/>
      <c r="B72" s="461"/>
      <c r="C72" s="461"/>
      <c r="D72" s="461"/>
      <c r="E72" s="247" t="str">
        <f>Admin_2024!G71</f>
        <v>Autoriser les couches réutilisables pour les parents qui le souhaitent (un modèle homologué) au sein des crèches communales</v>
      </c>
      <c r="F72" s="15" t="s">
        <v>729</v>
      </c>
      <c r="G72" s="259">
        <f>VLOOKUP(E72,Admin_2024!$G$2:$AA$138,21,FALSE)</f>
        <v>0</v>
      </c>
      <c r="H72" s="213">
        <f>G72/Sankey_diag!$H$44</f>
        <v>0</v>
      </c>
      <c r="I72" s="213">
        <f>G72/Sankey_diag!$H$62</f>
        <v>0</v>
      </c>
      <c r="J72" s="305">
        <v>1</v>
      </c>
      <c r="K72" s="305"/>
      <c r="L72" s="213">
        <f>VLOOKUP(E72,Admin_2024!$G$2:$AA$138,14,FALSE)</f>
        <v>0.3</v>
      </c>
      <c r="M72" s="247" t="str">
        <f>VLOOKUP(E72,Admin_2024!$G$2:$AA$138,13,FALSE)</f>
        <v>% crèches utilisant des couches réutilisables</v>
      </c>
      <c r="N72" s="11">
        <f>VLOOKUP(E72,Admin_2024!$G$2:$AA$138,16,FALSE)</f>
        <v>0</v>
      </c>
    </row>
    <row r="73" spans="1:17" x14ac:dyDescent="0.3">
      <c r="A73" s="461"/>
      <c r="B73" s="461"/>
      <c r="C73" s="461"/>
      <c r="D73" s="461"/>
      <c r="E73" s="247" t="str">
        <f>Admin_2024!G72</f>
        <v>Mettre en place un système de revente de vêtements au sein des crèches communales</v>
      </c>
      <c r="F73" s="15" t="s">
        <v>727</v>
      </c>
      <c r="G73" s="259">
        <f>VLOOKUP(E73,Admin_2024!$G$2:$AA$138,21,FALSE)</f>
        <v>0</v>
      </c>
      <c r="H73" s="213">
        <f>G73/Sankey_diag!$H$44</f>
        <v>0</v>
      </c>
      <c r="I73" s="213">
        <f>G73/Sankey_diag!$H$62</f>
        <v>0</v>
      </c>
      <c r="J73" s="305">
        <v>1</v>
      </c>
      <c r="K73" s="305"/>
      <c r="L73" s="213">
        <f>VLOOKUP(E73,Admin_2024!$G$2:$AA$138,14,FALSE)</f>
        <v>0.3</v>
      </c>
      <c r="M73" s="247" t="str">
        <f>VLOOKUP(E73,Admin_2024!$G$2:$AA$138,13,FALSE)</f>
        <v>% crèche avec système de revente</v>
      </c>
      <c r="N73" s="11">
        <f>VLOOKUP(E73,Admin_2024!$G$2:$AA$138,16,FALSE)</f>
        <v>0</v>
      </c>
    </row>
    <row r="74" spans="1:17" x14ac:dyDescent="0.3">
      <c r="A74" s="461"/>
      <c r="B74" s="461"/>
      <c r="C74" s="461"/>
      <c r="D74" s="461"/>
      <c r="E74" s="247" t="str">
        <f>Admin_2024!G73</f>
        <v>Mettre en place le tri des matières organiques dans les batiments communaux (compost ou bac orange)</v>
      </c>
      <c r="F74" s="15" t="s">
        <v>730</v>
      </c>
      <c r="G74" s="259">
        <f>VLOOKUP(E74,Admin_2024!$G$2:$AA$138,21,FALSE)</f>
        <v>6.4399800000000003</v>
      </c>
      <c r="H74" s="213">
        <f>G74/Sankey_diag!$H$44</f>
        <v>1.7023688806171361E-2</v>
      </c>
      <c r="I74" s="213">
        <f>G74/Sankey_diag!$H$62</f>
        <v>1.7522899098906006E-3</v>
      </c>
      <c r="J74" s="305">
        <v>1</v>
      </c>
      <c r="K74" s="305"/>
      <c r="L74" s="213">
        <f>VLOOKUP(E74,Admin_2024!$G$2:$AA$138,14,FALSE)</f>
        <v>1</v>
      </c>
      <c r="M74" s="247" t="str">
        <f>VLOOKUP(E74,Admin_2024!$G$2:$AA$138,13,FALSE)</f>
        <v>% de batiment avec tri de matières organiques</v>
      </c>
      <c r="N74" s="11">
        <f>VLOOKUP(E74,Admin_2024!$G$2:$AA$138,16,FALSE)</f>
        <v>0</v>
      </c>
    </row>
    <row r="75" spans="1:17" ht="28.8" x14ac:dyDescent="0.3">
      <c r="A75" s="461"/>
      <c r="B75" s="461"/>
      <c r="C75" s="461"/>
      <c r="D75" s="461"/>
      <c r="E75" s="247" t="str">
        <f>Admin_2024!G74</f>
        <v>Tendre vers un fonctionnement zéro déchet de l’administration, en menant une réflexion sur les déchets produits en établissant une charte : tri, matériel, catering, etc.</v>
      </c>
      <c r="F75" s="15" t="s">
        <v>728</v>
      </c>
      <c r="G75" s="259">
        <f>VLOOKUP(E75,Admin_2024!$G$2:$AA$138,21,FALSE)</f>
        <v>18.731980499999999</v>
      </c>
      <c r="H75" s="213">
        <f>G75/Sankey_diag!$H$44</f>
        <v>4.951683184656943E-2</v>
      </c>
      <c r="I75" s="393">
        <f>G75/Sankey_diag!$H$62</f>
        <v>5.0968885652467062E-3</v>
      </c>
      <c r="J75" s="305">
        <v>1</v>
      </c>
      <c r="K75" s="305"/>
      <c r="L75" s="213">
        <f>VLOOKUP(E75,Admin_2024!$G$2:$AA$138,14,FALSE)</f>
        <v>0.75</v>
      </c>
      <c r="M75" s="247" t="str">
        <f>VLOOKUP(E75,Admin_2024!$G$2:$AA$138,13,FALSE)</f>
        <v>% réduction de la quantité de déchets totale (ou charte en place et plan d'action lancé)</v>
      </c>
      <c r="N75" s="11">
        <f>VLOOKUP(E75,Admin_2024!$G$2:$AA$138,16,FALSE)</f>
        <v>0</v>
      </c>
    </row>
    <row r="76" spans="1:17" ht="75.599999999999994" customHeight="1" x14ac:dyDescent="0.3">
      <c r="A76" s="461"/>
      <c r="B76" s="461"/>
      <c r="C76" s="461"/>
      <c r="D76" s="245" t="str">
        <f>Admin_2024!E65</f>
        <v>Améliorer la connaissance et le monitoring des déchets</v>
      </c>
      <c r="E76" s="247" t="str">
        <f>Admin_2024!G65</f>
        <v>Faire un inventaire des flux entrants et sortants et mettre à jour les contrats</v>
      </c>
      <c r="F76" s="15" t="s">
        <v>721</v>
      </c>
      <c r="G76" s="259">
        <f>VLOOKUP(E76,Admin_2024!$G$2:$AA$138,21,FALSE)</f>
        <v>0</v>
      </c>
      <c r="H76" s="213">
        <f>G76/Sankey_diag!$H$44</f>
        <v>0</v>
      </c>
      <c r="I76" s="213">
        <f>G76/Sankey_diag!$H$62</f>
        <v>0</v>
      </c>
      <c r="J76" s="305">
        <v>2</v>
      </c>
      <c r="K76" s="305"/>
      <c r="L76" s="11">
        <f>VLOOKUP(E76,Admin_2024!$G$2:$AA$138,14,FALSE)</f>
        <v>1</v>
      </c>
      <c r="M76" s="247" t="str">
        <f>VLOOKUP(E76,Admin_2024!$G$2:$AA$138,13,FALSE)</f>
        <v>Inventaire fait</v>
      </c>
      <c r="N76" s="11">
        <f>VLOOKUP(E76,Admin_2024!$G$2:$AA$138,16,FALSE)</f>
        <v>0</v>
      </c>
    </row>
    <row r="77" spans="1:17" ht="86.4" customHeight="1" x14ac:dyDescent="0.3">
      <c r="A77" s="461"/>
      <c r="B77" s="461"/>
      <c r="C77" s="461"/>
      <c r="D77" s="461" t="str">
        <f>Admin_2024!E75</f>
        <v>Sensibiliser et changer les comportements lié à une économie circulaire et zero déchets</v>
      </c>
      <c r="E77" s="247" t="str">
        <f>Admin_2024!G75</f>
        <v>Sensibiliser à l'impression noir et blanc &amp; recto verso</v>
      </c>
      <c r="F77" s="15" t="s">
        <v>728</v>
      </c>
      <c r="G77" s="259">
        <f>VLOOKUP(E77,Admin_2024!$G$2:$AA$138,21,FALSE)</f>
        <v>5.5570788000000002</v>
      </c>
      <c r="H77" s="213">
        <f>G77/Sankey_diag!$H$44</f>
        <v>1.4689794092927646E-2</v>
      </c>
      <c r="I77" s="213">
        <f>G77/Sankey_diag!$H$62</f>
        <v>1.5120564209371717E-3</v>
      </c>
      <c r="J77" s="305">
        <v>1</v>
      </c>
      <c r="K77" s="305"/>
      <c r="L77" s="213">
        <f>VLOOKUP(E77,Admin_2024!$G$2:$AA$138,14,FALSE)</f>
        <v>0.9</v>
      </c>
      <c r="M77" s="247" t="str">
        <f>VLOOKUP(E77,Admin_2024!$G$2:$AA$138,13,FALSE)</f>
        <v>% papier imprimé recto/verso (ou nombre de campagnes lancées)</v>
      </c>
      <c r="N77" s="11">
        <f>VLOOKUP(E77,Admin_2024!$G$2:$AA$138,16,FALSE)</f>
        <v>0</v>
      </c>
    </row>
    <row r="78" spans="1:17" x14ac:dyDescent="0.3">
      <c r="A78" s="461"/>
      <c r="B78" s="461"/>
      <c r="C78" s="461"/>
      <c r="D78" s="461"/>
      <c r="E78" s="247" t="str">
        <f>Admin_2024!G76</f>
        <v>Sensibiliser la hiérarchie aux nouvelles démarches</v>
      </c>
      <c r="F78" s="15" t="s">
        <v>720</v>
      </c>
      <c r="G78" s="259">
        <f>VLOOKUP(E78,Admin_2024!$G$2:$AA$138,21,FALSE)</f>
        <v>0</v>
      </c>
      <c r="H78" s="213">
        <f>G78/Sankey_diag!$H$44</f>
        <v>0</v>
      </c>
      <c r="I78" s="213">
        <f>G78/Sankey_diag!$H$62</f>
        <v>0</v>
      </c>
      <c r="J78" s="305">
        <v>2</v>
      </c>
      <c r="K78" s="305"/>
      <c r="L78" s="213">
        <f>VLOOKUP(E78,Admin_2024!$G$2:$AA$138,14,FALSE)</f>
        <v>1</v>
      </c>
      <c r="M78" s="247" t="str">
        <f>VLOOKUP(E78,Admin_2024!$G$2:$AA$138,13,FALSE)</f>
        <v>% de cadre sensibilisé</v>
      </c>
      <c r="N78" s="11">
        <f>VLOOKUP(E78,Admin_2024!$G$2:$AA$138,16,FALSE)</f>
        <v>0</v>
      </c>
    </row>
    <row r="79" spans="1:17" x14ac:dyDescent="0.3">
      <c r="A79" s="461"/>
      <c r="B79" s="461"/>
      <c r="C79" s="461"/>
      <c r="D79" s="461"/>
      <c r="E79" s="247" t="str">
        <f>Admin_2024!G77</f>
        <v>Réglementer l'utilisation d'emballages à usage unique dans les marchés</v>
      </c>
      <c r="F79" s="15" t="s">
        <v>721</v>
      </c>
      <c r="G79" s="259">
        <f>VLOOKUP(E79,Admin_2024!$G$2:$AA$138,21,FALSE)</f>
        <v>0</v>
      </c>
      <c r="H79" s="213">
        <f>G79/Sankey_diag!$H$44</f>
        <v>0</v>
      </c>
      <c r="I79" s="213">
        <f>G79/Sankey_diag!$H$62</f>
        <v>0</v>
      </c>
      <c r="J79" s="305">
        <v>2</v>
      </c>
      <c r="K79" s="305"/>
      <c r="L79" s="213">
        <f>VLOOKUP(E79,Admin_2024!$G$2:$AA$138,14,FALSE)</f>
        <v>1</v>
      </c>
      <c r="M79" s="247" t="str">
        <f>VLOOKUP(E79,Admin_2024!$G$2:$AA$138,13,FALSE)</f>
        <v>% marché avec réglementation</v>
      </c>
      <c r="N79" s="11">
        <f>VLOOKUP(E79,Admin_2024!$G$2:$AA$138,16,FALSE)</f>
        <v>0</v>
      </c>
    </row>
    <row r="80" spans="1:17" ht="28.8" x14ac:dyDescent="0.3">
      <c r="A80" s="461"/>
      <c r="B80" s="461"/>
      <c r="C80" s="461"/>
      <c r="D80" s="461"/>
      <c r="E80" s="247" t="str">
        <f>Admin_2024!G78</f>
        <v>Sensibiliser le personnel aux lunchs zéro déchet (Achat groupé auprès de collègues fabricant des emballages réutilisables, ou autre)</v>
      </c>
      <c r="F80" s="15" t="s">
        <v>720</v>
      </c>
      <c r="G80" s="259">
        <f>VLOOKUP(E80,Admin_2024!$G$2:$AA$138,21,FALSE)</f>
        <v>0.96599699999999999</v>
      </c>
      <c r="H80" s="213">
        <f>G80/Sankey_diag!$H$44</f>
        <v>2.5535533209257041E-3</v>
      </c>
      <c r="I80" s="213">
        <f>G80/Sankey_diag!$H$62</f>
        <v>2.6284348648359008E-4</v>
      </c>
      <c r="J80" s="305">
        <v>3</v>
      </c>
      <c r="K80" s="305"/>
      <c r="L80" s="213">
        <f>VLOOKUP(E80,Admin_2024!$G$2:$AA$138,14,FALSE)</f>
        <v>0.3</v>
      </c>
      <c r="M80" s="247" t="str">
        <f>VLOOKUP(E80,Admin_2024!$G$2:$AA$138,13,FALSE)</f>
        <v>% de lunch zéro déchet</v>
      </c>
      <c r="N80" s="11">
        <f>VLOOKUP(E80,Admin_2024!$G$2:$AA$138,16,FALSE)</f>
        <v>0</v>
      </c>
    </row>
    <row r="81" spans="1:17" x14ac:dyDescent="0.3">
      <c r="A81" s="461"/>
      <c r="B81" s="461"/>
      <c r="C81" s="461"/>
      <c r="D81" s="461"/>
      <c r="E81" s="247" t="str">
        <f>Admin_2024!G79</f>
        <v>Mettre en place un "welkome pack" de développement durable pour les agents entrants</v>
      </c>
      <c r="F81" s="15" t="s">
        <v>720</v>
      </c>
      <c r="G81" s="259">
        <f>VLOOKUP(E81,Admin_2024!$G$2:$AA$138,21,FALSE)</f>
        <v>0</v>
      </c>
      <c r="H81" s="213">
        <f>G81/Sankey_diag!$H$44</f>
        <v>0</v>
      </c>
      <c r="I81" s="213">
        <f>G81/Sankey_diag!$H$62</f>
        <v>0</v>
      </c>
      <c r="J81" s="305">
        <v>1</v>
      </c>
      <c r="K81" s="305"/>
      <c r="L81" s="213">
        <f>VLOOKUP(E81,Admin_2024!$G$2:$AA$138,14,FALSE)</f>
        <v>0.9</v>
      </c>
      <c r="M81" s="247" t="str">
        <f>VLOOKUP(E81,Admin_2024!$G$2:$AA$138,13,FALSE)</f>
        <v>% des agents qui ont recu le welcome pack</v>
      </c>
      <c r="N81" s="11">
        <f>VLOOKUP(E81,Admin_2024!$G$2:$AA$138,16,FALSE)</f>
        <v>0</v>
      </c>
    </row>
    <row r="82" spans="1:17" x14ac:dyDescent="0.3">
      <c r="A82" s="461"/>
      <c r="B82" s="461"/>
      <c r="C82" s="461"/>
      <c r="D82" s="461"/>
      <c r="E82" s="247" t="str">
        <f>Admin_2024!G80</f>
        <v>Sensibiliser le personnel à l'utilisation de la donnerie jettoise (plutot Territoire ?)</v>
      </c>
      <c r="F82" s="15" t="s">
        <v>720</v>
      </c>
      <c r="G82" s="259">
        <f>VLOOKUP(E82,Admin_2024!$G$2:$AA$138,21,FALSE)</f>
        <v>0</v>
      </c>
      <c r="H82" s="213">
        <f>G82/Sankey_diag!$H$44</f>
        <v>0</v>
      </c>
      <c r="I82" s="213">
        <f>G82/Sankey_diag!$H$62</f>
        <v>0</v>
      </c>
      <c r="J82" s="305">
        <v>3</v>
      </c>
      <c r="K82" s="305"/>
      <c r="L82" s="213">
        <f>VLOOKUP(E82,Admin_2024!$G$2:$AA$138,14,FALSE)</f>
        <v>0.9</v>
      </c>
      <c r="M82" s="247" t="str">
        <f>VLOOKUP(E82,Admin_2024!$G$2:$AA$138,13,FALSE)</f>
        <v>% personnel sensibilisé à la jettoise</v>
      </c>
      <c r="N82" s="11">
        <f>VLOOKUP(E82,Admin_2024!$G$2:$AA$138,16,FALSE)</f>
        <v>0</v>
      </c>
    </row>
    <row r="83" spans="1:17" x14ac:dyDescent="0.3">
      <c r="A83" s="461"/>
      <c r="B83" s="461"/>
      <c r="C83" s="461"/>
      <c r="D83" s="461"/>
      <c r="E83" s="247" t="str">
        <f>Admin_2024!G81</f>
        <v>Campagne de sensibilisation au niveau du territoire</v>
      </c>
      <c r="F83" s="15" t="s">
        <v>720</v>
      </c>
      <c r="G83" s="259">
        <f>VLOOKUP(E83,Admin_2024!$G$2:$AA$138,21,FALSE)</f>
        <v>15.432603</v>
      </c>
      <c r="H83" s="213">
        <f>G83/Sankey_diag!$H$44</f>
        <v>4.0795131497487036E-2</v>
      </c>
      <c r="I83" s="393">
        <f>G83/Sankey_diag!$H$62</f>
        <v>4.1991426247049548E-3</v>
      </c>
      <c r="J83" s="305">
        <v>1</v>
      </c>
      <c r="K83" s="305"/>
      <c r="L83" s="11">
        <f>VLOOKUP(E83,Admin_2024!$G$2:$AA$138,14,FALSE)</f>
        <v>4</v>
      </c>
      <c r="M83" s="247" t="str">
        <f>VLOOKUP(E83,Admin_2024!$G$2:$AA$138,13,FALSE)</f>
        <v>Campagne de sensibilisation per année</v>
      </c>
      <c r="N83" s="11">
        <f>VLOOKUP(E83,Admin_2024!$G$2:$AA$138,16,FALSE)</f>
        <v>0</v>
      </c>
    </row>
    <row r="84" spans="1:17" ht="28.8" x14ac:dyDescent="0.3">
      <c r="A84" s="461"/>
      <c r="B84" s="461"/>
      <c r="C84" s="461"/>
      <c r="D84" s="461"/>
      <c r="E84" s="247" t="str">
        <f>Admin_2024!G82</f>
        <v>Inciter les professeurs et établissements scolaires à sensibiliser les élèves à la réduction des déchets, au gaspillage alimentaire et aux économies d’énergie en vue de devenir des écoles "Zero déchet"</v>
      </c>
      <c r="F84" s="15" t="s">
        <v>720</v>
      </c>
      <c r="G84" s="259">
        <f>VLOOKUP(E84,Admin_2024!$G$2:$AA$138,21,FALSE)</f>
        <v>0</v>
      </c>
      <c r="H84" s="213">
        <f>G84/Sankey_diag!$H$44</f>
        <v>0</v>
      </c>
      <c r="I84" s="213">
        <f>G84/Sankey_diag!$H$62</f>
        <v>0</v>
      </c>
      <c r="J84" s="305">
        <v>1</v>
      </c>
      <c r="K84" s="305"/>
      <c r="L84" s="11">
        <f>VLOOKUP(E84,Admin_2024!$G$2:$AA$138,14,FALSE)</f>
        <v>2</v>
      </c>
      <c r="M84" s="247" t="str">
        <f>VLOOKUP(E84,Admin_2024!$G$2:$AA$138,13,FALSE)</f>
        <v xml:space="preserve">Quantité de campagnes par année auprès des professeurs/écoles. </v>
      </c>
      <c r="N84" s="11">
        <f>VLOOKUP(E84,Admin_2024!$G$2:$AA$138,16,FALSE)</f>
        <v>0</v>
      </c>
    </row>
    <row r="85" spans="1:17" ht="6" customHeight="1" x14ac:dyDescent="0.3">
      <c r="A85" s="251"/>
      <c r="B85" s="251"/>
      <c r="C85" s="251"/>
      <c r="D85" s="251"/>
      <c r="E85" s="298"/>
      <c r="F85" s="257"/>
      <c r="G85" s="296"/>
      <c r="H85" s="296"/>
      <c r="I85" s="296"/>
      <c r="J85" s="304"/>
      <c r="K85" s="304"/>
      <c r="L85" s="296"/>
      <c r="M85" s="257"/>
      <c r="N85" s="296"/>
      <c r="O85" s="251"/>
      <c r="P85" s="251"/>
      <c r="Q85" s="251"/>
    </row>
    <row r="86" spans="1:17" ht="22.35" customHeight="1" x14ac:dyDescent="0.3">
      <c r="A86" s="461" t="str">
        <f>Admin_2024!B83</f>
        <v>Economie circulaire et durable / Duurzame en circulaire economie</v>
      </c>
      <c r="B86" s="461" t="s">
        <v>731</v>
      </c>
      <c r="C86" s="461" t="str">
        <f>Admin_2024!D83</f>
        <v>OS 6 Promouvoir l'économie circulaire et durable 
DS 6 Duurzame en circulaire economie promoten</v>
      </c>
      <c r="D86" s="461" t="str">
        <f>Admin_2024!E87</f>
        <v>Prolonger la durée de vie via la réutilisation et la réparation des matériaux et produits</v>
      </c>
      <c r="E86" s="247" t="str">
        <f>Admin_2024!G87</f>
        <v>Mettre en place une procédure pour éviter de jeter le matériel déclassé réutilisable (voir ressourcerie)</v>
      </c>
      <c r="F86" s="15" t="s">
        <v>727</v>
      </c>
      <c r="G86" s="259">
        <f>VLOOKUP(E86,Admin_2024!$G$2:$AA$138,21,FALSE)</f>
        <v>0</v>
      </c>
      <c r="H86" s="213">
        <f>G86/Sankey_diag!$H$51</f>
        <v>0</v>
      </c>
      <c r="I86" s="213">
        <f>G86/Sankey_diag!$H$62</f>
        <v>0</v>
      </c>
      <c r="J86" s="305">
        <v>1</v>
      </c>
      <c r="K86" s="305"/>
      <c r="L86" s="11">
        <f>VLOOKUP(E86,Admin_2024!$G$2:$AA$138,14,FALSE)</f>
        <v>1</v>
      </c>
      <c r="M86" s="247" t="str">
        <f>VLOOKUP(E86,Admin_2024!$G$2:$AA$138,13,FALSE)</f>
        <v>Procedure en place</v>
      </c>
      <c r="N86" s="11">
        <f>VLOOKUP(E86,Admin_2024!$G$2:$AA$138,16,FALSE)</f>
        <v>0</v>
      </c>
    </row>
    <row r="87" spans="1:17" ht="21" customHeight="1" x14ac:dyDescent="0.3">
      <c r="A87" s="461"/>
      <c r="B87" s="461"/>
      <c r="C87" s="461"/>
      <c r="D87" s="461"/>
      <c r="E87" s="247" t="str">
        <f>Admin_2024!G88</f>
        <v xml:space="preserve">Continuer à réparer les objets </v>
      </c>
      <c r="F87" s="15" t="s">
        <v>727</v>
      </c>
      <c r="G87" s="259">
        <f>VLOOKUP(E87,Admin_2024!$G$2:$AA$138,21,FALSE)</f>
        <v>0</v>
      </c>
      <c r="H87" s="213">
        <f>G87/Sankey_diag!$H$51</f>
        <v>0</v>
      </c>
      <c r="I87" s="213">
        <f>G87/Sankey_diag!$H$62</f>
        <v>0</v>
      </c>
      <c r="J87" s="305">
        <v>3</v>
      </c>
      <c r="K87" s="305"/>
      <c r="L87" s="213">
        <f>VLOOKUP(E87,Admin_2024!$G$2:$AA$138,14,FALSE)</f>
        <v>1</v>
      </c>
      <c r="M87" s="247" t="str">
        <f>VLOOKUP(E87,Admin_2024!$G$2:$AA$138,13,FALSE)</f>
        <v>% objets réparés au lieu d'être jeté</v>
      </c>
      <c r="N87" s="11">
        <f>VLOOKUP(E87,Admin_2024!$G$2:$AA$138,16,FALSE)</f>
        <v>0</v>
      </c>
    </row>
    <row r="88" spans="1:17" ht="25.35" customHeight="1" x14ac:dyDescent="0.3">
      <c r="A88" s="461"/>
      <c r="B88" s="461"/>
      <c r="C88" s="461"/>
      <c r="D88" s="461"/>
      <c r="E88" s="247" t="str">
        <f>Admin_2024!G89</f>
        <v>Réaliser des ateliers d'upcycling</v>
      </c>
      <c r="F88" s="15" t="s">
        <v>727</v>
      </c>
      <c r="G88" s="259">
        <f>VLOOKUP(E88,Admin_2024!$G$2:$AA$138,21,FALSE)</f>
        <v>0</v>
      </c>
      <c r="H88" s="213">
        <f>G88/Sankey_diag!$H$51</f>
        <v>0</v>
      </c>
      <c r="I88" s="213">
        <f>G88/Sankey_diag!$H$62</f>
        <v>0</v>
      </c>
      <c r="J88" s="305">
        <v>2</v>
      </c>
      <c r="K88" s="305"/>
      <c r="L88" s="11">
        <f>VLOOKUP(E88,Admin_2024!$G$2:$AA$138,14,FALSE)</f>
        <v>4</v>
      </c>
      <c r="M88" s="247" t="str">
        <f>VLOOKUP(E88,Admin_2024!$G$2:$AA$138,13,FALSE)</f>
        <v>Quantité d'atelier organisé parr année</v>
      </c>
      <c r="N88" s="11">
        <f>VLOOKUP(E88,Admin_2024!$G$2:$AA$138,16,FALSE)</f>
        <v>0</v>
      </c>
    </row>
    <row r="89" spans="1:17" ht="26.4" customHeight="1" x14ac:dyDescent="0.3">
      <c r="A89" s="461"/>
      <c r="B89" s="461"/>
      <c r="C89" s="461"/>
      <c r="D89" s="461"/>
      <c r="E89" s="247" t="str">
        <f>Admin_2024!G90</f>
        <v>Hub pour jeunes entreprises d'upcycling et économie circulaire (= Territoire)</v>
      </c>
      <c r="F89" s="15" t="s">
        <v>727</v>
      </c>
      <c r="G89" s="259">
        <f>VLOOKUP(E89,Admin_2024!$G$2:$AA$138,21,FALSE)</f>
        <v>0</v>
      </c>
      <c r="H89" s="213">
        <f>G89/Sankey_diag!$H$51</f>
        <v>0</v>
      </c>
      <c r="I89" s="213">
        <f>G89/Sankey_diag!$H$62</f>
        <v>0</v>
      </c>
      <c r="J89" s="305" t="s">
        <v>731</v>
      </c>
      <c r="K89" s="305"/>
      <c r="L89" s="11">
        <f>VLOOKUP(E89,Admin_2024!$G$2:$AA$138,14,FALSE)</f>
        <v>1</v>
      </c>
      <c r="M89" s="247" t="str">
        <f>VLOOKUP(E89,Admin_2024!$G$2:$AA$138,13,FALSE)</f>
        <v xml:space="preserve">Nbre de Hub </v>
      </c>
      <c r="N89" s="11">
        <f>VLOOKUP(E89,Admin_2024!$G$2:$AA$138,16,FALSE)</f>
        <v>0</v>
      </c>
    </row>
    <row r="90" spans="1:17" ht="57.6" x14ac:dyDescent="0.3">
      <c r="A90" s="461"/>
      <c r="B90" s="461"/>
      <c r="C90" s="461"/>
      <c r="D90" s="245" t="str">
        <f>Admin_2024!E84</f>
        <v>Intégrer l'économie circulaire pour des constructions neuves et des rénovations</v>
      </c>
      <c r="E90" s="247" t="str">
        <f>Admin_2024!G84</f>
        <v>Intégrer l'économie circulaire dans le cahier des charges des constructions neuves et de rénovation (utilisation de l'outil Totem)</v>
      </c>
      <c r="F90" s="15" t="s">
        <v>721</v>
      </c>
      <c r="G90" s="259">
        <f>VLOOKUP(E90,Admin_2024!$G$2:$AA$138,21,FALSE)</f>
        <v>0</v>
      </c>
      <c r="H90" s="213">
        <f>G90/Sankey_diag!$H$51</f>
        <v>0</v>
      </c>
      <c r="I90" s="213">
        <f>G90/Sankey_diag!$H$62</f>
        <v>0</v>
      </c>
      <c r="J90" s="305">
        <v>1</v>
      </c>
      <c r="K90" s="305"/>
      <c r="L90" s="213">
        <f>VLOOKUP(E90,Admin_2024!$G$2:$AA$138,14,FALSE)</f>
        <v>0.7</v>
      </c>
      <c r="M90" s="247" t="str">
        <f>VLOOKUP(E90,Admin_2024!$G$2:$AA$138,13,FALSE)</f>
        <v>% nouveaux batiments construits/rénovés avec des pratiques d'économie circulaire (% de CDC avec clause économie circulaire)</v>
      </c>
      <c r="N90" s="11">
        <f>VLOOKUP(E90,Admin_2024!$G$2:$AA$138,16,FALSE)</f>
        <v>0</v>
      </c>
    </row>
    <row r="91" spans="1:17" ht="44.1" customHeight="1" x14ac:dyDescent="0.3">
      <c r="A91" s="461"/>
      <c r="B91" s="461"/>
      <c r="C91" s="461"/>
      <c r="D91" s="461" t="str">
        <f>Admin_2024!E85</f>
        <v>Favoriser les commerces de proximité, les produits locaux et durables</v>
      </c>
      <c r="E91" s="247" t="str">
        <f>Admin_2024!G85</f>
        <v>Favoriser les commerces de proximité et durables: label "Entreprise circulaire" (?) / "Label Entreprise Ecodynamique" / "No Impact Jette" / …  et mise en valeur</v>
      </c>
      <c r="F91" s="15" t="s">
        <v>721</v>
      </c>
      <c r="G91" s="259">
        <f>VLOOKUP(E91,Admin_2024!$G$2:$AA$138,21,FALSE)</f>
        <v>0</v>
      </c>
      <c r="H91" s="213">
        <f>G91/Sankey_diag!$H$51</f>
        <v>0</v>
      </c>
      <c r="I91" s="213">
        <f>G91/Sankey_diag!$H$62</f>
        <v>0</v>
      </c>
      <c r="J91" s="305">
        <v>1</v>
      </c>
      <c r="K91" s="305"/>
      <c r="L91" s="213">
        <f>VLOOKUP(E91,Admin_2024!$G$2:$AA$138,14,FALSE)</f>
        <v>0.7</v>
      </c>
      <c r="M91" s="247" t="str">
        <f>VLOOKUP(E91,Admin_2024!$G$2:$AA$138,13,FALSE)</f>
        <v>% commerces partenaires avec label durable et economie circulaire (labels accepté à définir)</v>
      </c>
      <c r="N91" s="11">
        <f>VLOOKUP(E91,Admin_2024!$G$2:$AA$138,16,FALSE)</f>
        <v>0</v>
      </c>
    </row>
    <row r="92" spans="1:17" ht="41.25" customHeight="1" x14ac:dyDescent="0.3">
      <c r="A92" s="461"/>
      <c r="B92" s="461"/>
      <c r="C92" s="461"/>
      <c r="D92" s="461"/>
      <c r="E92" s="247" t="str">
        <f>Admin_2024!G86</f>
        <v>Eviter les commandes de matériaux non europeens</v>
      </c>
      <c r="F92" s="15" t="s">
        <v>715</v>
      </c>
      <c r="G92" s="259">
        <f>VLOOKUP(E92,Admin_2024!$G$2:$AA$138,21,FALSE)</f>
        <v>0</v>
      </c>
      <c r="H92" s="213">
        <f>G92/Sankey_diag!$H$51</f>
        <v>0</v>
      </c>
      <c r="I92" s="213">
        <f>G92/Sankey_diag!$H$62</f>
        <v>0</v>
      </c>
      <c r="J92" s="305">
        <v>3</v>
      </c>
      <c r="K92" s="305"/>
      <c r="L92" s="213">
        <f>VLOOKUP(E92,Admin_2024!$G$2:$AA$138,14,FALSE)</f>
        <v>0.7</v>
      </c>
      <c r="M92" s="247" t="str">
        <f>VLOOKUP(E92,Admin_2024!$G$2:$AA$138,13,FALSE)</f>
        <v>% de commandes EU</v>
      </c>
      <c r="N92" s="11">
        <f>VLOOKUP(E92,Admin_2024!$G$2:$AA$138,16,FALSE)</f>
        <v>0</v>
      </c>
    </row>
    <row r="93" spans="1:17" ht="86.1" customHeight="1" x14ac:dyDescent="0.3">
      <c r="A93" s="461"/>
      <c r="B93" s="461"/>
      <c r="C93" s="461"/>
      <c r="D93" s="245" t="str">
        <f>Admin_2024!E83</f>
        <v>Améliorer la connaissance et réaliser un monitoring de l'economie circulaire et durable</v>
      </c>
      <c r="E93" s="247" t="str">
        <f>Admin_2024!G83</f>
        <v>Réaliser une enquête auprès du personnel pour identifier les comportements/habitudes négatives</v>
      </c>
      <c r="F93" s="15" t="s">
        <v>719</v>
      </c>
      <c r="G93" s="259">
        <f>VLOOKUP(E93,Admin_2024!$G$2:$AA$138,21,FALSE)</f>
        <v>0</v>
      </c>
      <c r="H93" s="213">
        <f>G93/Sankey_diag!$H$51</f>
        <v>0</v>
      </c>
      <c r="I93" s="213">
        <f>G93/Sankey_diag!$H$62</f>
        <v>0</v>
      </c>
      <c r="J93" s="305">
        <v>3</v>
      </c>
      <c r="K93" s="305"/>
      <c r="L93" s="213">
        <f>VLOOKUP(E93,Admin_2024!$G$2:$AA$138,14,FALSE)</f>
        <v>0.75</v>
      </c>
      <c r="M93" s="247" t="str">
        <f>VLOOKUP(E93,Admin_2024!$G$2:$AA$138,13,FALSE)</f>
        <v>% de réponse sur l'enquête</v>
      </c>
      <c r="N93" s="11">
        <f>VLOOKUP(E93,Admin_2024!$G$2:$AA$138,16,FALSE)</f>
        <v>0</v>
      </c>
    </row>
    <row r="94" spans="1:17" ht="39" customHeight="1" x14ac:dyDescent="0.3">
      <c r="A94" s="461"/>
      <c r="B94" s="461"/>
      <c r="C94" s="461"/>
      <c r="D94" s="461" t="str">
        <f>Admin_2024!E91</f>
        <v>Sensibiliser et changer les comportements lié à l'économie circulaire et durable</v>
      </c>
      <c r="E94" s="247" t="str">
        <f>Admin_2024!G91</f>
        <v>Campagne de sensibilisation sur l'économie circulaire</v>
      </c>
      <c r="F94" s="15" t="s">
        <v>720</v>
      </c>
      <c r="G94" s="259">
        <f>VLOOKUP(E94,Admin_2024!$G$2:$AA$138,21,FALSE)</f>
        <v>0</v>
      </c>
      <c r="H94" s="213">
        <f>G94/Sankey_diag!$H$51</f>
        <v>0</v>
      </c>
      <c r="I94" s="213">
        <f>G94/Sankey_diag!$H$62</f>
        <v>0</v>
      </c>
      <c r="J94" s="305">
        <v>2</v>
      </c>
      <c r="K94" s="305"/>
      <c r="L94" s="11">
        <f>VLOOKUP(E94,Admin_2024!$G$2:$AA$138,14,FALSE)</f>
        <v>1</v>
      </c>
      <c r="M94" s="247" t="str">
        <f>VLOOKUP(E94,Admin_2024!$G$2:$AA$138,13,FALSE)</f>
        <v>Nombre de campagnes (ou personnes touché par la campagne)</v>
      </c>
      <c r="N94" s="11">
        <f>VLOOKUP(E94,Admin_2024!$G$2:$AA$138,16,FALSE)</f>
        <v>0</v>
      </c>
    </row>
    <row r="95" spans="1:17" ht="44.4" customHeight="1" x14ac:dyDescent="0.3">
      <c r="A95" s="461"/>
      <c r="B95" s="461"/>
      <c r="C95" s="461"/>
      <c r="D95" s="461"/>
      <c r="E95" s="247" t="str">
        <f>Admin_2024!G92</f>
        <v>Valoriser et améliorer la visibilité des petites annonces de l'Intranet</v>
      </c>
      <c r="F95" s="15" t="s">
        <v>723</v>
      </c>
      <c r="G95" s="259">
        <f>VLOOKUP(E95,Admin_2024!$G$2:$AA$138,21,FALSE)</f>
        <v>0</v>
      </c>
      <c r="H95" s="213">
        <f>G95/Sankey_diag!$H$51</f>
        <v>0</v>
      </c>
      <c r="I95" s="213">
        <f>G95/Sankey_diag!$H$62</f>
        <v>0</v>
      </c>
      <c r="J95" s="305">
        <v>2</v>
      </c>
      <c r="K95" s="305"/>
      <c r="L95" s="213">
        <f>VLOOKUP(E95,Admin_2024!$G$2:$AA$138,14,FALSE)</f>
        <v>0</v>
      </c>
      <c r="M95" s="247">
        <f>VLOOKUP(E95,Admin_2024!$G$2:$AA$138,13,FALSE)</f>
        <v>0</v>
      </c>
      <c r="N95" s="11">
        <f>VLOOKUP(E95,Admin_2024!$G$2:$AA$138,16,FALSE)</f>
        <v>0</v>
      </c>
    </row>
    <row r="96" spans="1:17" ht="6" customHeight="1" x14ac:dyDescent="0.3">
      <c r="A96" s="251"/>
      <c r="B96" s="251"/>
      <c r="C96" s="251"/>
      <c r="D96" s="251"/>
      <c r="E96" s="298"/>
      <c r="F96" s="257"/>
      <c r="G96" s="296"/>
      <c r="H96" s="296"/>
      <c r="I96" s="296"/>
      <c r="J96" s="304"/>
      <c r="K96" s="304"/>
      <c r="L96" s="296"/>
      <c r="M96" s="257"/>
      <c r="N96" s="296"/>
      <c r="O96" s="251"/>
      <c r="P96" s="251"/>
      <c r="Q96" s="251"/>
    </row>
    <row r="97" spans="1:17" ht="14.4" customHeight="1" x14ac:dyDescent="0.3">
      <c r="A97" s="461" t="str">
        <f>Admin_2024!B93</f>
        <v>Espaces verts/ biodiversité / Groene ruimte/biodiversiteit</v>
      </c>
      <c r="B97" s="462" t="s">
        <v>731</v>
      </c>
      <c r="C97" s="461" t="str">
        <f>Admin_2024!D93</f>
        <v>OS 7 Faire évoluer la biodiversité dans la nouvelle donne climatique 
SD 7 Biodiversiteit doen evolueren in functie van klimaatverandering</v>
      </c>
      <c r="D97" s="461" t="str">
        <f>Admin_2024!E93</f>
        <v>Augmenter la surface verte</v>
      </c>
      <c r="E97" s="247" t="str">
        <f>Admin_2024!G93</f>
        <v>Finaliser le projet de toiture jardin rue Léon Theodor 109</v>
      </c>
      <c r="F97" s="15"/>
      <c r="G97" s="259">
        <f>VLOOKUP(E97,Admin_2024!$G$2:$AA$138,21,FALSE)</f>
        <v>0</v>
      </c>
      <c r="H97" s="11"/>
      <c r="I97" s="213">
        <f>G97/Sankey_diag!$H$62</f>
        <v>0</v>
      </c>
      <c r="J97" s="305">
        <v>1</v>
      </c>
      <c r="K97" s="305"/>
      <c r="L97" s="213">
        <f>VLOOKUP(E97,Admin_2024!$G$2:$AA$138,14,FALSE)</f>
        <v>1</v>
      </c>
      <c r="M97" s="247" t="str">
        <f>VLOOKUP(E97,Admin_2024!$G$2:$AA$138,13,FALSE)</f>
        <v>Toiture jardin finalisé</v>
      </c>
      <c r="N97" s="11">
        <f>VLOOKUP(E97,Admin_2024!$G$2:$AA$138,16,FALSE)</f>
        <v>0</v>
      </c>
    </row>
    <row r="98" spans="1:17" ht="28.8" x14ac:dyDescent="0.3">
      <c r="A98" s="461"/>
      <c r="B98" s="462"/>
      <c r="C98" s="461"/>
      <c r="D98" s="461"/>
      <c r="E98" s="247" t="str">
        <f>Admin_2024!G94</f>
        <v>Insérer des zones nature dans les projets de réaménagement des écoles</v>
      </c>
      <c r="F98" s="15"/>
      <c r="G98" s="259">
        <f>VLOOKUP(E98,Admin_2024!$G$2:$AA$138,21,FALSE)</f>
        <v>0</v>
      </c>
      <c r="H98" s="11"/>
      <c r="I98" s="213">
        <f>G98/Sankey_diag!$H$62</f>
        <v>0</v>
      </c>
      <c r="J98" s="305">
        <v>1</v>
      </c>
      <c r="K98" s="305"/>
      <c r="L98" s="213">
        <f>VLOOKUP(E98,Admin_2024!$G$2:$AA$138,14,FALSE)</f>
        <v>1</v>
      </c>
      <c r="M98" s="247" t="str">
        <f>VLOOKUP(E98,Admin_2024!$G$2:$AA$138,13,FALSE)</f>
        <v>% de zones natures dans les projects de réaménagement des écoles</v>
      </c>
      <c r="N98" s="11">
        <f>VLOOKUP(E98,Admin_2024!$G$2:$AA$138,16,FALSE)</f>
        <v>0</v>
      </c>
    </row>
    <row r="99" spans="1:17" ht="28.8" x14ac:dyDescent="0.3">
      <c r="A99" s="461"/>
      <c r="B99" s="462"/>
      <c r="C99" s="461"/>
      <c r="D99" s="461"/>
      <c r="E99" s="247" t="str">
        <f>Admin_2024!G95</f>
        <v xml:space="preserve">Installer des toitures vertes et des façades végétales sur les bâtiments communaux </v>
      </c>
      <c r="F99" s="15"/>
      <c r="G99" s="259">
        <f>VLOOKUP(E99,Admin_2024!$G$2:$AA$138,21,FALSE)</f>
        <v>3.1278773530998305</v>
      </c>
      <c r="H99" s="11"/>
      <c r="I99" s="213">
        <f>G99/Sankey_diag!$H$62</f>
        <v>8.5108151348484813E-4</v>
      </c>
      <c r="J99" s="305">
        <v>2</v>
      </c>
      <c r="K99" s="305"/>
      <c r="L99" s="213">
        <f>VLOOKUP(E99,Admin_2024!$G$2:$AA$138,14,FALSE)</f>
        <v>0.2</v>
      </c>
      <c r="M99" s="247" t="str">
        <f>VLOOKUP(E99,Admin_2024!$G$2:$AA$138,13,FALSE)</f>
        <v>% m2 de toitures verte installée par rapport à toiture classique</v>
      </c>
      <c r="N99" s="11">
        <f>VLOOKUP(E99,Admin_2024!$G$2:$AA$138,16,FALSE)</f>
        <v>0</v>
      </c>
    </row>
    <row r="100" spans="1:17" x14ac:dyDescent="0.3">
      <c r="A100" s="461"/>
      <c r="B100" s="462"/>
      <c r="C100" s="461"/>
      <c r="D100" s="461"/>
      <c r="E100" s="247" t="str">
        <f>Admin_2024!G96</f>
        <v>Végétaliser en hauteur plutot qu'en largeur (Action a concretiser)</v>
      </c>
      <c r="F100" s="15"/>
      <c r="G100" s="259">
        <f>VLOOKUP(E100,Admin_2024!$G$2:$AA$138,21,FALSE)</f>
        <v>0</v>
      </c>
      <c r="H100" s="11"/>
      <c r="I100" s="213">
        <f>G100/Sankey_diag!$H$62</f>
        <v>0</v>
      </c>
      <c r="J100" s="305"/>
      <c r="K100" s="305"/>
      <c r="L100" s="213">
        <f>VLOOKUP(E100,Admin_2024!$G$2:$AA$138,14,FALSE)</f>
        <v>0</v>
      </c>
      <c r="M100" s="247">
        <f>VLOOKUP(E100,Admin_2024!$G$2:$AA$138,13,FALSE)</f>
        <v>0</v>
      </c>
      <c r="N100" s="11">
        <f>VLOOKUP(E100,Admin_2024!$G$2:$AA$138,16,FALSE)</f>
        <v>0</v>
      </c>
    </row>
    <row r="101" spans="1:17" x14ac:dyDescent="0.3">
      <c r="A101" s="461"/>
      <c r="B101" s="462"/>
      <c r="C101" s="461"/>
      <c r="D101" s="461"/>
      <c r="E101" s="247" t="str">
        <f>Admin_2024!G97</f>
        <v>Etudier la faisabilité d’une allée verte allant du nord au sud de la commune</v>
      </c>
      <c r="F101" s="15"/>
      <c r="G101" s="259">
        <f>VLOOKUP(E101,Admin_2024!$G$2:$AA$138,21,FALSE)</f>
        <v>0</v>
      </c>
      <c r="H101" s="11"/>
      <c r="I101" s="213">
        <f>G101/Sankey_diag!$H$62</f>
        <v>0</v>
      </c>
      <c r="J101" s="305">
        <v>2</v>
      </c>
      <c r="K101" s="305"/>
      <c r="L101" s="11">
        <f>VLOOKUP(E101,Admin_2024!$G$2:$AA$138,14,FALSE)</f>
        <v>1</v>
      </c>
      <c r="M101" s="247" t="str">
        <f>VLOOKUP(E101,Admin_2024!$G$2:$AA$138,13,FALSE)</f>
        <v>Etude faite</v>
      </c>
      <c r="N101" s="11">
        <f>VLOOKUP(E101,Admin_2024!$G$2:$AA$138,16,FALSE)</f>
        <v>0</v>
      </c>
    </row>
    <row r="102" spans="1:17" ht="28.8" x14ac:dyDescent="0.3">
      <c r="A102" s="461"/>
      <c r="B102" s="462"/>
      <c r="C102" s="461"/>
      <c r="D102" s="461"/>
      <c r="E102" s="247" t="str">
        <f>Admin_2024!G98</f>
        <v>Poursuivre la politique de maillage vert de protection et développement (plantations d’arbres et création de parcs)</v>
      </c>
      <c r="F102" s="15"/>
      <c r="G102" s="259">
        <f>VLOOKUP(E102,Admin_2024!$G$2:$AA$138,21,FALSE)</f>
        <v>0</v>
      </c>
      <c r="H102" s="11"/>
      <c r="I102" s="213">
        <f>G102/Sankey_diag!$H$62</f>
        <v>0</v>
      </c>
      <c r="J102" s="305">
        <v>1</v>
      </c>
      <c r="K102" s="305"/>
      <c r="L102" s="11">
        <f>VLOOKUP(E102,Admin_2024!$G$2:$AA$138,14,FALSE)</f>
        <v>1</v>
      </c>
      <c r="M102" s="247" t="str">
        <f>VLOOKUP(E102,Admin_2024!$G$2:$AA$138,13,FALSE)</f>
        <v>Politique de maillage verte en place</v>
      </c>
      <c r="N102" s="11">
        <f>VLOOKUP(E102,Admin_2024!$G$2:$AA$138,16,FALSE)</f>
        <v>0</v>
      </c>
    </row>
    <row r="103" spans="1:17" x14ac:dyDescent="0.3">
      <c r="A103" s="461"/>
      <c r="B103" s="462"/>
      <c r="C103" s="461"/>
      <c r="D103" s="461"/>
      <c r="E103" s="247" t="str">
        <f>Admin_2024!G99</f>
        <v xml:space="preserve">Réaliser un état des lieux du potentiel de végétalisation (espaces publics, privés, espaces perdus…) </v>
      </c>
      <c r="F103" s="15"/>
      <c r="G103" s="259">
        <f>VLOOKUP(E103,Admin_2024!$G$2:$AA$138,21,FALSE)</f>
        <v>0</v>
      </c>
      <c r="H103" s="11"/>
      <c r="I103" s="213">
        <f>G103/Sankey_diag!$H$62</f>
        <v>0</v>
      </c>
      <c r="J103" s="305">
        <v>1</v>
      </c>
      <c r="K103" s="305"/>
      <c r="L103" s="11">
        <f>VLOOKUP(E103,Admin_2024!$G$2:$AA$138,14,FALSE)</f>
        <v>1</v>
      </c>
      <c r="M103" s="247" t="str">
        <f>VLOOKUP(E103,Admin_2024!$G$2:$AA$138,13,FALSE)</f>
        <v>Etat de lieu fait</v>
      </c>
      <c r="N103" s="11">
        <f>VLOOKUP(E103,Admin_2024!$G$2:$AA$138,16,FALSE)</f>
        <v>0</v>
      </c>
    </row>
    <row r="104" spans="1:17" x14ac:dyDescent="0.3">
      <c r="A104" s="461"/>
      <c r="B104" s="462"/>
      <c r="C104" s="461"/>
      <c r="D104" s="461"/>
      <c r="E104" s="247" t="str">
        <f>Admin_2024!G100</f>
        <v>Planter les espaces perdus via, entre autres, le concept de micro forêts (ex. : Milan)</v>
      </c>
      <c r="F104" s="15"/>
      <c r="G104" s="259">
        <f>VLOOKUP(E104,Admin_2024!$G$2:$AA$138,21,FALSE)</f>
        <v>1</v>
      </c>
      <c r="H104" s="11"/>
      <c r="I104" s="213">
        <f>G104/Sankey_diag!$H$62</f>
        <v>2.7209555152199239E-4</v>
      </c>
      <c r="J104" s="305">
        <v>1</v>
      </c>
      <c r="K104" s="305"/>
      <c r="L104" s="11">
        <f>VLOOKUP(E104,Admin_2024!$G$2:$AA$138,14,FALSE)</f>
        <v>1000</v>
      </c>
      <c r="M104" s="247" t="str">
        <f>VLOOKUP(E104,Admin_2024!$G$2:$AA$138,13,FALSE)</f>
        <v>m2 de de micro foret planté</v>
      </c>
      <c r="N104" s="11">
        <f>VLOOKUP(E104,Admin_2024!$G$2:$AA$138,16,FALSE)</f>
        <v>0</v>
      </c>
    </row>
    <row r="105" spans="1:17" ht="28.8" x14ac:dyDescent="0.3">
      <c r="A105" s="461"/>
      <c r="B105" s="462"/>
      <c r="C105" s="461"/>
      <c r="D105" s="461"/>
      <c r="E105" s="247" t="str">
        <f>Admin_2024!G101</f>
        <v>Planter des arbres dans les rues lors de rénovation, lors de demande d’habitants (entre deux garages par exemple) ou par initiative communale</v>
      </c>
      <c r="F105" s="15"/>
      <c r="G105" s="259">
        <f>VLOOKUP(E105,Admin_2024!$G$2:$AA$138,21,FALSE)</f>
        <v>3.75</v>
      </c>
      <c r="H105" s="11"/>
      <c r="I105" s="213">
        <f>G105/Sankey_diag!$H$62</f>
        <v>1.0203583182074715E-3</v>
      </c>
      <c r="J105" s="305">
        <v>2</v>
      </c>
      <c r="K105" s="305"/>
      <c r="L105" s="11">
        <f>VLOOKUP(E105,Admin_2024!$G$2:$AA$138,14,FALSE)</f>
        <v>150</v>
      </c>
      <c r="M105" s="247" t="str">
        <f>VLOOKUP(E105,Admin_2024!$G$2:$AA$138,13,FALSE)</f>
        <v>Quantité d'arbres plantés</v>
      </c>
      <c r="N105" s="11">
        <f>VLOOKUP(E105,Admin_2024!$G$2:$AA$138,16,FALSE)</f>
        <v>0</v>
      </c>
    </row>
    <row r="106" spans="1:17" ht="41.25" customHeight="1" x14ac:dyDescent="0.3">
      <c r="A106" s="461"/>
      <c r="B106" s="462"/>
      <c r="C106" s="461"/>
      <c r="D106" s="461" t="str">
        <f>Admin_2024!E103</f>
        <v>Sensibiliser et changer les comportements par rapport à la biodiversité</v>
      </c>
      <c r="E106" s="247" t="str">
        <f>Admin_2024!G103</f>
        <v>Sensibiliser le personnel à la biodiversité</v>
      </c>
      <c r="F106" s="15"/>
      <c r="G106" s="259">
        <f>VLOOKUP(E106,Admin_2024!$G$2:$AA$138,21,FALSE)</f>
        <v>0</v>
      </c>
      <c r="H106" s="11"/>
      <c r="I106" s="213">
        <f>G106/Sankey_diag!$H$62</f>
        <v>0</v>
      </c>
      <c r="J106" s="305">
        <v>2</v>
      </c>
      <c r="K106" s="305"/>
      <c r="L106" s="11">
        <f>VLOOKUP(E106,Admin_2024!$G$2:$AA$138,14,FALSE)</f>
        <v>2</v>
      </c>
      <c r="M106" s="247" t="str">
        <f>VLOOKUP(E106,Admin_2024!$G$2:$AA$138,13,FALSE)</f>
        <v xml:space="preserve">Campagnes de sensibilisation par rapport à la biodiversité par an. </v>
      </c>
      <c r="N106" s="11">
        <f>VLOOKUP(E106,Admin_2024!$G$2:$AA$138,16,FALSE)</f>
        <v>0</v>
      </c>
    </row>
    <row r="107" spans="1:17" ht="32.1" customHeight="1" x14ac:dyDescent="0.3">
      <c r="A107" s="461"/>
      <c r="B107" s="462"/>
      <c r="C107" s="461"/>
      <c r="D107" s="461"/>
      <c r="E107" s="247" t="str">
        <f>Admin_2024!G104</f>
        <v>Placer des panneaux didactiques près des installations favorables à la biodiversité</v>
      </c>
      <c r="F107" s="15"/>
      <c r="G107" s="259">
        <f>VLOOKUP(E107,Admin_2024!$G$2:$AA$138,21,FALSE)</f>
        <v>0</v>
      </c>
      <c r="H107" s="11"/>
      <c r="I107" s="213">
        <f>G107/Sankey_diag!$H$62</f>
        <v>0</v>
      </c>
      <c r="J107" s="305">
        <v>1</v>
      </c>
      <c r="K107" s="305"/>
      <c r="L107" s="11">
        <f>VLOOKUP(E107,Admin_2024!$G$2:$AA$138,14,FALSE)</f>
        <v>10</v>
      </c>
      <c r="M107" s="247" t="str">
        <f>VLOOKUP(E107,Admin_2024!$G$2:$AA$138,13,FALSE)</f>
        <v>Quantité de panneaux didactiques</v>
      </c>
      <c r="N107" s="11">
        <f>VLOOKUP(E107,Admin_2024!$G$2:$AA$138,16,FALSE)</f>
        <v>0</v>
      </c>
    </row>
    <row r="108" spans="1:17" ht="43.2" x14ac:dyDescent="0.3">
      <c r="A108" s="461"/>
      <c r="B108" s="462"/>
      <c r="C108" s="461"/>
      <c r="D108" s="245" t="str">
        <f>Admin_2024!E105</f>
        <v>Opérer un shift vers des espèces adaptés au nouveau climat</v>
      </c>
      <c r="E108" s="15" t="str">
        <f>Admin_2024!G105</f>
        <v>Planter des variétés d'arbres d'alignement adaptés au changement climatique (conseil dans autres actions)</v>
      </c>
      <c r="F108" s="15"/>
      <c r="G108" s="259">
        <f>VLOOKUP(E108,Admin_2024!$G$2:$AA$138,21,FALSE)</f>
        <v>0</v>
      </c>
      <c r="H108" s="11"/>
      <c r="I108" s="213">
        <f>G108/Sankey_diag!$H$62</f>
        <v>0</v>
      </c>
      <c r="J108" s="305"/>
      <c r="K108" s="305"/>
      <c r="L108" s="213">
        <f>VLOOKUP(E108,Admin_2024!$G$2:$AA$138,14,FALSE)</f>
        <v>0</v>
      </c>
      <c r="M108" s="247">
        <f>VLOOKUP(E108,Admin_2024!$G$2:$AA$138,13,FALSE)</f>
        <v>0</v>
      </c>
      <c r="N108" s="11">
        <f>VLOOKUP(E108,Admin_2024!$G$2:$AA$138,16,FALSE)</f>
        <v>0</v>
      </c>
    </row>
    <row r="109" spans="1:17" ht="28.8" x14ac:dyDescent="0.3">
      <c r="A109" s="461"/>
      <c r="B109" s="462"/>
      <c r="C109" s="461"/>
      <c r="D109" s="11" t="s">
        <v>732</v>
      </c>
      <c r="E109" s="247" t="str">
        <f>Admin_2024!G102</f>
        <v>Arriver par toutes ces actions à la plantation d’au moins 150 arbres supplémentaires par an à Jette. (KPI global pour cette partie, pas une action)</v>
      </c>
      <c r="F109" s="15"/>
      <c r="G109" s="259">
        <f>VLOOKUP(E109,Admin_2024!$G$2:$AA$138,21,FALSE)</f>
        <v>3.75</v>
      </c>
      <c r="H109" s="11"/>
      <c r="I109" s="213">
        <f>G109/Sankey_diag!$H$62</f>
        <v>1.0203583182074715E-3</v>
      </c>
      <c r="J109" s="305"/>
      <c r="K109" s="305"/>
      <c r="L109" s="11">
        <f>VLOOKUP(E109,Admin_2024!$G$2:$AA$138,14,FALSE)</f>
        <v>150</v>
      </c>
      <c r="M109" s="247" t="str">
        <f>VLOOKUP(E109,Admin_2024!$G$2:$AA$138,13,FALSE)</f>
        <v>nombre arbre planté/an</v>
      </c>
      <c r="N109" s="11">
        <f>VLOOKUP(E109,Admin_2024!$G$2:$AA$138,16,FALSE)</f>
        <v>0</v>
      </c>
    </row>
    <row r="110" spans="1:17" ht="6" customHeight="1" x14ac:dyDescent="0.3">
      <c r="A110" s="251"/>
      <c r="B110" s="251"/>
      <c r="C110" s="251"/>
      <c r="D110" s="251"/>
      <c r="E110" s="298"/>
      <c r="F110" s="257"/>
      <c r="G110" s="296"/>
      <c r="H110" s="296"/>
      <c r="I110" s="296"/>
      <c r="J110" s="304"/>
      <c r="K110" s="304"/>
      <c r="L110" s="296"/>
      <c r="M110" s="257"/>
      <c r="N110" s="296"/>
      <c r="O110" s="251"/>
      <c r="P110" s="251"/>
      <c r="Q110" s="251"/>
    </row>
    <row r="111" spans="1:17" ht="44.1" customHeight="1" x14ac:dyDescent="0.3">
      <c r="A111" s="461" t="str">
        <f>Admin_2024!B127</f>
        <v>Sensibilisation/ gouvernance / Sensibilisering/bestuur</v>
      </c>
      <c r="B111" s="461" t="s">
        <v>731</v>
      </c>
      <c r="C111" s="461" t="str">
        <f>Admin_2024!D127</f>
        <v>OS 8 Mettre en place une bonne structure de gouvernance générale permettant une amélioration continue 
SD 8 Een efficiënte bestuursstructuur implementeren die het mogelijk maakt om voortdurend te verbeteren</v>
      </c>
      <c r="D111" s="461" t="str">
        <f>Admin_2024!E127</f>
        <v xml:space="preserve">Mettre en place une bonne gouvernance et un système de gestion permettant une amélioration continue. </v>
      </c>
      <c r="E111" s="247" t="str">
        <f>Admin_2024!G127</f>
        <v>Créer un groupe de travail formel pour développer une stratégie de changement de comportement, une ecoTeam</v>
      </c>
      <c r="F111" s="15"/>
      <c r="G111" s="11"/>
      <c r="H111" s="11"/>
      <c r="I111" s="11"/>
      <c r="J111" s="305">
        <v>1</v>
      </c>
      <c r="K111" s="305"/>
      <c r="L111" s="11">
        <f>VLOOKUP(E111,Admin_2024!$G$2:$AA$138,14,FALSE)</f>
        <v>1</v>
      </c>
      <c r="M111" s="247" t="str">
        <f>VLOOKUP(E111,Admin_2024!$G$2:$AA$138,13,FALSE)</f>
        <v>Groupe de travail mis en place</v>
      </c>
      <c r="N111" s="11">
        <f>VLOOKUP(E111,Admin_2024!$G$2:$AA$138,16,FALSE)</f>
        <v>2022</v>
      </c>
    </row>
    <row r="112" spans="1:17" ht="45.15" customHeight="1" x14ac:dyDescent="0.3">
      <c r="A112" s="461"/>
      <c r="B112" s="461"/>
      <c r="C112" s="461"/>
      <c r="D112" s="461"/>
      <c r="E112" s="247" t="str">
        <f>Admin_2024!G128</f>
        <v>Renforcer les synergies des différents services sur les projets transversaux</v>
      </c>
      <c r="F112" s="15"/>
      <c r="G112" s="11"/>
      <c r="H112" s="11"/>
      <c r="I112" s="11"/>
      <c r="J112" s="305">
        <v>2</v>
      </c>
      <c r="K112" s="305"/>
      <c r="L112" s="11">
        <f>VLOOKUP(E112,Admin_2024!$G$2:$AA$138,14,FALSE)</f>
        <v>1</v>
      </c>
      <c r="M112" s="247" t="str">
        <f>VLOOKUP(E112,Admin_2024!$G$2:$AA$138,13,FALSE)</f>
        <v>Plan d'action pour renforcer les synergies en place</v>
      </c>
      <c r="N112" s="11">
        <f>VLOOKUP(E112,Admin_2024!$G$2:$AA$138,16,FALSE)</f>
        <v>0</v>
      </c>
    </row>
    <row r="113" spans="1:14" x14ac:dyDescent="0.3">
      <c r="A113" s="461"/>
      <c r="B113" s="461"/>
      <c r="C113" s="461" t="str">
        <f>Admin_2024!D129</f>
        <v>OS 9 Sensibilisation et éduquer des acteurs communaux 
SD 9 Sensibilisering en educatie van gemeentelijke actoren</v>
      </c>
      <c r="D113" s="461" t="str">
        <f>Admin_2024!E129</f>
        <v>Former et sensibiliser</v>
      </c>
      <c r="E113" s="247" t="str">
        <f>Admin_2024!G129</f>
        <v>Mettre un place une stratégie de communication interne pour tous les niveaux</v>
      </c>
      <c r="G113" s="11"/>
      <c r="H113" s="11"/>
      <c r="I113" s="11"/>
      <c r="J113" s="305">
        <v>1</v>
      </c>
      <c r="K113" s="305"/>
      <c r="L113" s="11">
        <f>VLOOKUP(E113,Admin_2024!$G$2:$AA$138,14,FALSE)</f>
        <v>1</v>
      </c>
      <c r="M113" s="247" t="str">
        <f>VLOOKUP(E113,Admin_2024!$G$2:$AA$138,13,FALSE)</f>
        <v>Stratégie de communication mise en place</v>
      </c>
      <c r="N113" s="11">
        <f>VLOOKUP(E113,Admin_2024!$G$2:$AA$138,16,FALSE)</f>
        <v>0</v>
      </c>
    </row>
    <row r="114" spans="1:14" x14ac:dyDescent="0.3">
      <c r="A114" s="461"/>
      <c r="B114" s="461"/>
      <c r="C114" s="461"/>
      <c r="D114" s="461"/>
      <c r="E114" s="247" t="str">
        <f>Admin_2024!G130</f>
        <v>Mettre en place une formation pratique du personnel en DD</v>
      </c>
      <c r="G114" s="11"/>
      <c r="H114" s="11"/>
      <c r="I114" s="11"/>
      <c r="J114" s="305">
        <v>1</v>
      </c>
      <c r="K114" s="305"/>
      <c r="L114" s="213">
        <f>VLOOKUP(E114,Admin_2024!$G$2:$AA$138,14,FALSE)</f>
        <v>0.8</v>
      </c>
      <c r="M114" s="247" t="str">
        <f>VLOOKUP(E114,Admin_2024!$G$2:$AA$138,13,FALSE)</f>
        <v>% d'employé formé à la formation DD</v>
      </c>
      <c r="N114" s="11">
        <f>VLOOKUP(E114,Admin_2024!$G$2:$AA$138,16,FALSE)</f>
        <v>0</v>
      </c>
    </row>
    <row r="115" spans="1:14" x14ac:dyDescent="0.3">
      <c r="A115" s="461"/>
      <c r="B115" s="461"/>
      <c r="C115" s="461"/>
      <c r="D115" s="461"/>
      <c r="E115" s="247" t="str">
        <f>Admin_2024!G131</f>
        <v>Organiser des mini-formations pour les puéricultrices à l’utilisation de bricolages avec des matières recyclées</v>
      </c>
      <c r="G115" s="11"/>
      <c r="H115" s="11"/>
      <c r="I115" s="11"/>
      <c r="J115" s="305">
        <v>3</v>
      </c>
      <c r="K115" s="305"/>
      <c r="L115" s="213">
        <f>VLOOKUP(E115,Admin_2024!$G$2:$AA$138,14,FALSE)</f>
        <v>0.7</v>
      </c>
      <c r="M115" s="247" t="str">
        <f>VLOOKUP(E115,Admin_2024!$G$2:$AA$138,13,FALSE)</f>
        <v>% Puéricultrice formée</v>
      </c>
      <c r="N115" s="11">
        <f>VLOOKUP(E115,Admin_2024!$G$2:$AA$138,16,FALSE)</f>
        <v>0</v>
      </c>
    </row>
    <row r="116" spans="1:14" ht="28.8" x14ac:dyDescent="0.3">
      <c r="A116" s="461"/>
      <c r="B116" s="461"/>
      <c r="C116" s="461"/>
      <c r="D116" s="461"/>
      <c r="E116" s="247" t="str">
        <f>Admin_2024!G132</f>
        <v>Sensibiliser le personnel de l’administration en vue d'intégrer en tant que culture d’entreprise, le développement durable et ce, via des activités proposées au cours de l’année</v>
      </c>
      <c r="G116" s="11"/>
      <c r="H116" s="11"/>
      <c r="I116" s="11"/>
      <c r="J116" s="305">
        <v>2</v>
      </c>
      <c r="K116" s="305"/>
      <c r="L116" s="11">
        <f>VLOOKUP(E116,Admin_2024!$G$2:$AA$138,14,FALSE)</f>
        <v>4</v>
      </c>
      <c r="M116" s="247" t="str">
        <f>VLOOKUP(E116,Admin_2024!$G$2:$AA$138,13,FALSE)</f>
        <v>Quantité d'activités proposé par année</v>
      </c>
      <c r="N116" s="11">
        <f>VLOOKUP(E116,Admin_2024!$G$2:$AA$138,16,FALSE)</f>
        <v>0</v>
      </c>
    </row>
    <row r="117" spans="1:14" ht="28.8" x14ac:dyDescent="0.3">
      <c r="A117" s="461"/>
      <c r="B117" s="461"/>
      <c r="C117" s="461"/>
      <c r="D117" s="461" t="str">
        <f>Admin_2024!E133</f>
        <v xml:space="preserve">Stimuler la participation de tous les parties prenantes </v>
      </c>
      <c r="E117" s="247" t="str">
        <f>Admin_2024!G133</f>
        <v>Elaborer de manière participative les plans d'actions (votes etc.)</v>
      </c>
      <c r="G117" s="11"/>
      <c r="H117" s="11"/>
      <c r="I117" s="11"/>
      <c r="J117" s="305">
        <v>2</v>
      </c>
      <c r="K117" s="305"/>
      <c r="L117" s="11">
        <f>VLOOKUP(E117,Admin_2024!$G$2:$AA$138,14,FALSE)</f>
        <v>1</v>
      </c>
      <c r="M117" s="247" t="str">
        <f>VLOOKUP(E117,Admin_2024!$G$2:$AA$138,13,FALSE)</f>
        <v>Analyse et processus participatif mis en place pour les plans d'actions</v>
      </c>
      <c r="N117" s="11">
        <f>VLOOKUP(E117,Admin_2024!$G$2:$AA$138,16,FALSE)</f>
        <v>0</v>
      </c>
    </row>
    <row r="118" spans="1:14" ht="28.8" x14ac:dyDescent="0.3">
      <c r="A118" s="461"/>
      <c r="B118" s="461"/>
      <c r="C118" s="461"/>
      <c r="D118" s="461"/>
      <c r="E118" s="247" t="str">
        <f>Admin_2024!G134</f>
        <v>Communiquer/impliquer le personnel dans les actions citoyennes/événements communaux (a intégrer dans le plan de communication)</v>
      </c>
      <c r="G118" s="11"/>
      <c r="H118" s="11"/>
      <c r="I118" s="11"/>
      <c r="J118" s="305"/>
      <c r="K118" s="305"/>
      <c r="L118" s="213" t="str">
        <f>VLOOKUP(E118,Admin_2024!$G$2:$AA$138,14,FALSE)</f>
        <v>?</v>
      </c>
      <c r="M118" s="247" t="str">
        <f>VLOOKUP(E118,Admin_2024!$G$2:$AA$138,13,FALSE)</f>
        <v>Communications par année</v>
      </c>
      <c r="N118" s="11">
        <f>VLOOKUP(E118,Admin_2024!$G$2:$AA$138,16,FALSE)</f>
        <v>0</v>
      </c>
    </row>
    <row r="119" spans="1:14" ht="28.8" x14ac:dyDescent="0.3">
      <c r="A119" s="461"/>
      <c r="B119" s="461"/>
      <c r="C119" s="461"/>
      <c r="D119" s="461"/>
      <c r="E119" s="247" t="str">
        <f>Admin_2024!G135</f>
        <v>Demander un engagement fort des responsables communaux (exemplarité)</v>
      </c>
      <c r="G119" s="11"/>
      <c r="H119" s="11"/>
      <c r="I119" s="11"/>
      <c r="J119" s="305">
        <v>1</v>
      </c>
      <c r="K119" s="305"/>
      <c r="L119" s="213">
        <f>VLOOKUP(E119,Admin_2024!$G$2:$AA$138,14,FALSE)</f>
        <v>0.75</v>
      </c>
      <c r="M119" s="247" t="str">
        <f>VLOOKUP(E119,Admin_2024!$G$2:$AA$138,13,FALSE)</f>
        <v>% de personnes du CODI/Collèges qui font un engagement concret</v>
      </c>
      <c r="N119" s="11">
        <f>VLOOKUP(E119,Admin_2024!$G$2:$AA$138,16,FALSE)</f>
        <v>0</v>
      </c>
    </row>
    <row r="120" spans="1:14" x14ac:dyDescent="0.3">
      <c r="A120" s="461"/>
      <c r="B120" s="461"/>
      <c r="C120" s="461"/>
      <c r="D120" s="461"/>
      <c r="E120" s="247" t="str">
        <f>Admin_2024!G137</f>
        <v>Utiliser par défaut le moteur de recherche Ecosia au sein de l’administration</v>
      </c>
      <c r="G120" s="11"/>
      <c r="H120" s="11"/>
      <c r="I120" s="11"/>
      <c r="J120" s="305">
        <v>3</v>
      </c>
      <c r="K120" s="305"/>
      <c r="L120" s="213">
        <f>VLOOKUP(E120,Admin_2024!$G$2:$AA$138,14,FALSE)</f>
        <v>0.8</v>
      </c>
      <c r="M120" s="247" t="str">
        <f>VLOOKUP(E120,Admin_2024!$G$2:$AA$138,13,FALSE)</f>
        <v>% personnel de l'administration utilisant Ecosia</v>
      </c>
      <c r="N120" s="11">
        <f>VLOOKUP(E120,Admin_2024!$G$2:$AA$138,16,FALSE)</f>
        <v>0</v>
      </c>
    </row>
    <row r="121" spans="1:14" x14ac:dyDescent="0.3">
      <c r="A121" s="461"/>
      <c r="B121" s="461"/>
      <c r="C121" s="461"/>
      <c r="D121" s="461"/>
      <c r="E121" s="247" t="str">
        <f>Admin_2024!G138</f>
        <v>Encourager les écoles à obtenir le label « Eco-Schools » ou autre label</v>
      </c>
      <c r="G121" s="11"/>
      <c r="H121" s="11"/>
      <c r="I121" s="11"/>
      <c r="J121" s="305">
        <v>3</v>
      </c>
      <c r="K121" s="305"/>
      <c r="L121" s="213">
        <f>VLOOKUP(E121,Admin_2024!$G$2:$AA$138,14,FALSE)</f>
        <v>0.5</v>
      </c>
      <c r="M121" s="247" t="str">
        <f>VLOOKUP(E121,Admin_2024!$G$2:$AA$138,13,FALSE)</f>
        <v>% des ecoles avec un label Eco-Schools</v>
      </c>
      <c r="N121" s="11">
        <f>VLOOKUP(E121,Admin_2024!$G$2:$AA$138,16,FALSE)</f>
        <v>0</v>
      </c>
    </row>
  </sheetData>
  <mergeCells count="50">
    <mergeCell ref="D20:D22"/>
    <mergeCell ref="A3:A22"/>
    <mergeCell ref="B3:B22"/>
    <mergeCell ref="C3:C22"/>
    <mergeCell ref="D5:D11"/>
    <mergeCell ref="D3:D4"/>
    <mergeCell ref="D12:D13"/>
    <mergeCell ref="D15:D16"/>
    <mergeCell ref="D17:D19"/>
    <mergeCell ref="D29:D39"/>
    <mergeCell ref="C24:C39"/>
    <mergeCell ref="B24:B39"/>
    <mergeCell ref="A24:A39"/>
    <mergeCell ref="D41:D43"/>
    <mergeCell ref="D24:D26"/>
    <mergeCell ref="D27:D28"/>
    <mergeCell ref="D44:D49"/>
    <mergeCell ref="D50:D51"/>
    <mergeCell ref="D52:D53"/>
    <mergeCell ref="A41:A54"/>
    <mergeCell ref="B41:B54"/>
    <mergeCell ref="C41:C54"/>
    <mergeCell ref="D56:D59"/>
    <mergeCell ref="D61:D63"/>
    <mergeCell ref="A56:A65"/>
    <mergeCell ref="B56:B65"/>
    <mergeCell ref="C56:C65"/>
    <mergeCell ref="D68:D75"/>
    <mergeCell ref="D77:D84"/>
    <mergeCell ref="A67:A84"/>
    <mergeCell ref="B67:B84"/>
    <mergeCell ref="C67:C84"/>
    <mergeCell ref="D86:D89"/>
    <mergeCell ref="D91:D92"/>
    <mergeCell ref="D94:D95"/>
    <mergeCell ref="A86:A95"/>
    <mergeCell ref="B86:B95"/>
    <mergeCell ref="C86:C95"/>
    <mergeCell ref="A97:A109"/>
    <mergeCell ref="D117:D121"/>
    <mergeCell ref="D113:D116"/>
    <mergeCell ref="D111:D112"/>
    <mergeCell ref="C111:C112"/>
    <mergeCell ref="C113:C121"/>
    <mergeCell ref="B111:B121"/>
    <mergeCell ref="A111:A121"/>
    <mergeCell ref="D97:D105"/>
    <mergeCell ref="D106:D107"/>
    <mergeCell ref="C97:C109"/>
    <mergeCell ref="B97:B109"/>
  </mergeCells>
  <conditionalFormatting sqref="H3:H22">
    <cfRule type="dataBar" priority="5">
      <dataBar>
        <cfvo type="min"/>
        <cfvo type="max"/>
        <color rgb="FF019CDB"/>
      </dataBar>
      <extLst>
        <ext xmlns:x14="http://schemas.microsoft.com/office/spreadsheetml/2009/9/main" uri="{B025F937-C7B1-47D3-B67F-A62EFF666E3E}">
          <x14:id>{E0E8B912-9641-4491-9156-DE0A755AF36F}</x14:id>
        </ext>
      </extLst>
    </cfRule>
  </conditionalFormatting>
  <conditionalFormatting sqref="H24:H39">
    <cfRule type="dataBar" priority="4">
      <dataBar>
        <cfvo type="min"/>
        <cfvo type="max"/>
        <color rgb="FF019CDB"/>
      </dataBar>
      <extLst>
        <ext xmlns:x14="http://schemas.microsoft.com/office/spreadsheetml/2009/9/main" uri="{B025F937-C7B1-47D3-B67F-A62EFF666E3E}">
          <x14:id>{1C445001-1190-4112-B485-927B4E16C689}</x14:id>
        </ext>
      </extLst>
    </cfRule>
  </conditionalFormatting>
  <conditionalFormatting sqref="H41:H54">
    <cfRule type="dataBar" priority="3">
      <dataBar>
        <cfvo type="min"/>
        <cfvo type="max"/>
        <color rgb="FF019CDB"/>
      </dataBar>
      <extLst>
        <ext xmlns:x14="http://schemas.microsoft.com/office/spreadsheetml/2009/9/main" uri="{B025F937-C7B1-47D3-B67F-A62EFF666E3E}">
          <x14:id>{70B63E9A-DFBA-472D-87F5-31C95705E953}</x14:id>
        </ext>
      </extLst>
    </cfRule>
  </conditionalFormatting>
  <conditionalFormatting sqref="H56:H65">
    <cfRule type="dataBar" priority="2">
      <dataBar>
        <cfvo type="min"/>
        <cfvo type="max"/>
        <color rgb="FF019CDB"/>
      </dataBar>
      <extLst>
        <ext xmlns:x14="http://schemas.microsoft.com/office/spreadsheetml/2009/9/main" uri="{B025F937-C7B1-47D3-B67F-A62EFF666E3E}">
          <x14:id>{0A2E25E7-6081-46FE-BD78-0FEA0DEE52E2}</x14:id>
        </ext>
      </extLst>
    </cfRule>
  </conditionalFormatting>
  <conditionalFormatting sqref="H67:H84">
    <cfRule type="dataBar" priority="1">
      <dataBar>
        <cfvo type="min"/>
        <cfvo type="max"/>
        <color rgb="FF019CDB"/>
      </dataBar>
      <extLst>
        <ext xmlns:x14="http://schemas.microsoft.com/office/spreadsheetml/2009/9/main" uri="{B025F937-C7B1-47D3-B67F-A62EFF666E3E}">
          <x14:id>{E134AB2F-EECC-4112-95B9-AA38A79181B9}</x14:id>
        </ext>
      </extLst>
    </cfRule>
  </conditionalFormatting>
  <conditionalFormatting sqref="J2:K121">
    <cfRule type="cellIs" dxfId="2" priority="8" operator="equal">
      <formula>3</formula>
    </cfRule>
    <cfRule type="cellIs" dxfId="1" priority="9" operator="equal">
      <formula>2</formula>
    </cfRule>
    <cfRule type="cellIs" dxfId="0" priority="10" operator="equal">
      <formula>1</formula>
    </cfRule>
  </conditionalFormatting>
  <pageMargins left="0.7" right="0.7" top="0.75" bottom="0.75" header="0.3" footer="0.3"/>
  <pageSetup orientation="portrait" horizontalDpi="360" verticalDpi="360" r:id="rId1"/>
  <extLst>
    <ext xmlns:x14="http://schemas.microsoft.com/office/spreadsheetml/2009/9/main" uri="{78C0D931-6437-407d-A8EE-F0AAD7539E65}">
      <x14:conditionalFormattings>
        <x14:conditionalFormatting xmlns:xm="http://schemas.microsoft.com/office/excel/2006/main">
          <x14:cfRule type="dataBar" id="{E0E8B912-9641-4491-9156-DE0A755AF36F}">
            <x14:dataBar minLength="0" maxLength="100" gradient="0">
              <x14:cfvo type="autoMin"/>
              <x14:cfvo type="autoMax"/>
              <x14:negativeFillColor rgb="FFFF0000"/>
              <x14:axisColor rgb="FF000000"/>
            </x14:dataBar>
          </x14:cfRule>
          <xm:sqref>H3:H22</xm:sqref>
        </x14:conditionalFormatting>
        <x14:conditionalFormatting xmlns:xm="http://schemas.microsoft.com/office/excel/2006/main">
          <x14:cfRule type="dataBar" id="{1C445001-1190-4112-B485-927B4E16C689}">
            <x14:dataBar minLength="0" maxLength="100" gradient="0">
              <x14:cfvo type="autoMin"/>
              <x14:cfvo type="autoMax"/>
              <x14:negativeFillColor rgb="FFFF0000"/>
              <x14:axisColor rgb="FF000000"/>
            </x14:dataBar>
          </x14:cfRule>
          <xm:sqref>H24:H39</xm:sqref>
        </x14:conditionalFormatting>
        <x14:conditionalFormatting xmlns:xm="http://schemas.microsoft.com/office/excel/2006/main">
          <x14:cfRule type="dataBar" id="{70B63E9A-DFBA-472D-87F5-31C95705E953}">
            <x14:dataBar minLength="0" maxLength="100" gradient="0">
              <x14:cfvo type="autoMin"/>
              <x14:cfvo type="autoMax"/>
              <x14:negativeFillColor rgb="FFFF0000"/>
              <x14:axisColor rgb="FF000000"/>
            </x14:dataBar>
          </x14:cfRule>
          <xm:sqref>H41:H54</xm:sqref>
        </x14:conditionalFormatting>
        <x14:conditionalFormatting xmlns:xm="http://schemas.microsoft.com/office/excel/2006/main">
          <x14:cfRule type="dataBar" id="{0A2E25E7-6081-46FE-BD78-0FEA0DEE52E2}">
            <x14:dataBar minLength="0" maxLength="100" gradient="0">
              <x14:cfvo type="autoMin"/>
              <x14:cfvo type="autoMax"/>
              <x14:negativeFillColor rgb="FFFF0000"/>
              <x14:axisColor rgb="FF000000"/>
            </x14:dataBar>
          </x14:cfRule>
          <xm:sqref>H56:H65</xm:sqref>
        </x14:conditionalFormatting>
        <x14:conditionalFormatting xmlns:xm="http://schemas.microsoft.com/office/excel/2006/main">
          <x14:cfRule type="dataBar" id="{E134AB2F-EECC-4112-95B9-AA38A79181B9}">
            <x14:dataBar minLength="0" maxLength="100" gradient="0">
              <x14:cfvo type="autoMin"/>
              <x14:cfvo type="autoMax"/>
              <x14:negativeFillColor rgb="FFFF0000"/>
              <x14:axisColor rgb="FF000000"/>
            </x14:dataBar>
          </x14:cfRule>
          <xm:sqref>H67:H84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B4BD8-77E3-486C-BD25-2371981892FF}">
  <sheetPr codeName="Sheet1">
    <tabColor rgb="FF005091"/>
  </sheetPr>
  <dimension ref="A1:AC96"/>
  <sheetViews>
    <sheetView showGridLines="0" topLeftCell="G26" zoomScaleNormal="100" workbookViewId="0">
      <selection activeCell="K36" sqref="K36:K39"/>
    </sheetView>
  </sheetViews>
  <sheetFormatPr baseColWidth="10" defaultColWidth="11.5546875" defaultRowHeight="14.4" outlineLevelRow="1" outlineLevelCol="1" x14ac:dyDescent="0.3"/>
  <cols>
    <col min="1" max="1" width="29" hidden="1" customWidth="1" outlineLevel="1"/>
    <col min="2" max="2" width="26.109375" hidden="1" customWidth="1" outlineLevel="1"/>
    <col min="3" max="3" width="11.5546875" hidden="1" customWidth="1" outlineLevel="1"/>
    <col min="4" max="4" width="17.5546875" hidden="1" customWidth="1" outlineLevel="1"/>
    <col min="5" max="5" width="13.88671875" customWidth="1" collapsed="1"/>
    <col min="7" max="7" width="21" style="11" customWidth="1"/>
    <col min="8" max="8" width="14.44140625" style="11" bestFit="1" customWidth="1"/>
    <col min="9" max="9" width="11.5546875" style="11"/>
    <col min="10" max="10" width="22.44140625" style="11" customWidth="1"/>
    <col min="11" max="11" width="22.5546875" style="103" customWidth="1"/>
    <col min="12" max="12" width="11.5546875" style="104"/>
    <col min="13" max="13" width="33.44140625" customWidth="1"/>
    <col min="14" max="14" width="14.88671875" style="105" customWidth="1"/>
    <col min="15" max="15" width="16.109375" customWidth="1"/>
    <col min="18" max="18" width="21.5546875" customWidth="1"/>
    <col min="19" max="19" width="10.109375" bestFit="1" customWidth="1"/>
    <col min="20" max="20" width="13.44140625" bestFit="1" customWidth="1"/>
    <col min="21" max="21" width="27.44140625" customWidth="1"/>
    <col min="22" max="22" width="8.44140625" bestFit="1" customWidth="1"/>
    <col min="23" max="23" width="13.44140625" bestFit="1" customWidth="1"/>
    <col min="24" max="24" width="23.5546875" customWidth="1"/>
    <col min="25" max="25" width="10.109375" bestFit="1" customWidth="1"/>
    <col min="26" max="26" width="9.88671875" customWidth="1"/>
  </cols>
  <sheetData>
    <row r="1" spans="1:26" ht="23.4" x14ac:dyDescent="0.45">
      <c r="G1" s="464" t="s">
        <v>733</v>
      </c>
      <c r="H1" s="464"/>
      <c r="I1" s="464"/>
      <c r="J1" s="465" t="s">
        <v>734</v>
      </c>
      <c r="K1" s="465"/>
      <c r="L1" s="465"/>
      <c r="M1" s="466" t="s">
        <v>735</v>
      </c>
      <c r="N1" s="466"/>
      <c r="O1" s="466"/>
      <c r="R1" s="464" t="s">
        <v>733</v>
      </c>
      <c r="S1" s="464"/>
      <c r="T1" s="464"/>
      <c r="U1" s="465" t="s">
        <v>734</v>
      </c>
      <c r="V1" s="465"/>
      <c r="W1" s="465"/>
      <c r="X1" s="466" t="s">
        <v>735</v>
      </c>
      <c r="Y1" s="466"/>
      <c r="Z1" s="466"/>
    </row>
    <row r="2" spans="1:26" ht="15" thickBot="1" x14ac:dyDescent="0.35">
      <c r="A2" s="106" t="s">
        <v>702</v>
      </c>
      <c r="B2" s="106">
        <v>2019</v>
      </c>
      <c r="C2" s="106" t="s">
        <v>736</v>
      </c>
      <c r="G2"/>
      <c r="H2" s="208" t="s">
        <v>737</v>
      </c>
      <c r="I2" s="208" t="s">
        <v>736</v>
      </c>
      <c r="J2"/>
      <c r="K2" s="209" t="s">
        <v>737</v>
      </c>
      <c r="L2" s="209" t="s">
        <v>736</v>
      </c>
      <c r="M2" s="210"/>
      <c r="N2" s="211" t="s">
        <v>737</v>
      </c>
      <c r="O2" s="211" t="s">
        <v>736</v>
      </c>
      <c r="S2" s="208" t="s">
        <v>737</v>
      </c>
      <c r="T2" s="208" t="s">
        <v>736</v>
      </c>
      <c r="V2" s="209" t="s">
        <v>737</v>
      </c>
      <c r="W2" s="209" t="s">
        <v>736</v>
      </c>
      <c r="X2" s="210"/>
      <c r="Y2" s="211" t="s">
        <v>737</v>
      </c>
      <c r="Z2" s="211" t="s">
        <v>736</v>
      </c>
    </row>
    <row r="3" spans="1:26" x14ac:dyDescent="0.3">
      <c r="A3" s="108" t="s">
        <v>738</v>
      </c>
      <c r="B3" s="109">
        <v>1388.1024891833051</v>
      </c>
      <c r="C3" s="110">
        <f>B3/$B$15</f>
        <v>0.37769527953425769</v>
      </c>
      <c r="G3" s="524" t="s">
        <v>739</v>
      </c>
      <c r="H3" s="527">
        <f>SUM(K3:K28)</f>
        <v>1062.6136687625692</v>
      </c>
      <c r="I3" s="529">
        <f>H3/SUM($H$3:$H$59)</f>
        <v>0.28913245225675899</v>
      </c>
      <c r="J3" s="542" t="s">
        <v>740</v>
      </c>
      <c r="K3" s="543">
        <f>SUM(N3:N6)</f>
        <v>633.02056871462128</v>
      </c>
      <c r="L3" s="536">
        <f>K3/$B$15</f>
        <v>0.17224151855838285</v>
      </c>
      <c r="M3" s="111" t="s">
        <v>741</v>
      </c>
      <c r="N3" s="112">
        <v>609.26411612000004</v>
      </c>
      <c r="O3" s="113">
        <f t="shared" ref="O3:O28" si="0">N3/$B$15</f>
        <v>0.16577751458649534</v>
      </c>
      <c r="R3" s="499" t="s">
        <v>739</v>
      </c>
      <c r="S3" s="480">
        <v>1064</v>
      </c>
      <c r="T3" s="473">
        <f>S3/$S$29</f>
        <v>0.28950966681939994</v>
      </c>
      <c r="U3" s="475" t="s">
        <v>742</v>
      </c>
      <c r="V3" s="476">
        <f>SUM(K3:K18)</f>
        <v>844.37293065765357</v>
      </c>
      <c r="W3" s="473">
        <f>V3/$S$29</f>
        <v>0.2297501182575353</v>
      </c>
      <c r="X3" s="171" t="s">
        <v>743</v>
      </c>
      <c r="Y3" s="172">
        <f>K3</f>
        <v>633.02056871462128</v>
      </c>
      <c r="Z3" s="173">
        <f t="shared" ref="Z3:Z26" si="1">Y3/$S$29</f>
        <v>0.17224208076917016</v>
      </c>
    </row>
    <row r="4" spans="1:26" x14ac:dyDescent="0.3">
      <c r="A4" s="108" t="s">
        <v>744</v>
      </c>
      <c r="B4" s="109">
        <v>108.08975555595804</v>
      </c>
      <c r="C4" s="110">
        <f t="shared" ref="C4:C14" si="2">B4/$B$15</f>
        <v>2.941064565305742E-2</v>
      </c>
      <c r="G4" s="525"/>
      <c r="H4" s="477"/>
      <c r="I4" s="530"/>
      <c r="J4" s="538"/>
      <c r="K4" s="540"/>
      <c r="L4" s="471"/>
      <c r="M4" t="s">
        <v>745</v>
      </c>
      <c r="N4" s="114">
        <v>23.756452594621212</v>
      </c>
      <c r="O4" s="115">
        <f t="shared" si="0"/>
        <v>6.4640039718874935E-3</v>
      </c>
      <c r="R4" s="500"/>
      <c r="S4" s="481"/>
      <c r="T4" s="471"/>
      <c r="U4" s="467"/>
      <c r="V4" s="477"/>
      <c r="W4" s="471"/>
      <c r="X4" s="15" t="s">
        <v>746</v>
      </c>
      <c r="Y4" s="167">
        <f>SUM(K7:K14)</f>
        <v>155.8429697454601</v>
      </c>
      <c r="Z4" s="174">
        <f t="shared" si="1"/>
        <v>4.2404178803716143E-2</v>
      </c>
    </row>
    <row r="5" spans="1:26" x14ac:dyDescent="0.3">
      <c r="A5" s="108" t="s">
        <v>747</v>
      </c>
      <c r="B5" s="109">
        <v>28.490234999999998</v>
      </c>
      <c r="C5" s="110">
        <f t="shared" si="2"/>
        <v>7.7520409020033843E-3</v>
      </c>
      <c r="G5" s="525"/>
      <c r="H5" s="477"/>
      <c r="I5" s="530"/>
      <c r="J5" s="538"/>
      <c r="K5" s="540"/>
      <c r="L5" s="471"/>
      <c r="M5" t="s">
        <v>748</v>
      </c>
      <c r="N5" s="114">
        <v>0</v>
      </c>
      <c r="O5" s="115">
        <f t="shared" si="0"/>
        <v>0</v>
      </c>
      <c r="R5" s="500"/>
      <c r="S5" s="481"/>
      <c r="T5" s="471"/>
      <c r="U5" s="467"/>
      <c r="V5" s="477"/>
      <c r="W5" s="471"/>
      <c r="X5" s="15" t="s">
        <v>749</v>
      </c>
      <c r="Y5" s="167">
        <f>K15</f>
        <v>55.50939219757219</v>
      </c>
      <c r="Z5" s="174">
        <f t="shared" si="1"/>
        <v>1.5103858684648986E-2</v>
      </c>
    </row>
    <row r="6" spans="1:26" x14ac:dyDescent="0.3">
      <c r="A6" s="108" t="s">
        <v>750</v>
      </c>
      <c r="B6" s="116">
        <v>198.35273452000001</v>
      </c>
      <c r="C6" s="110">
        <f t="shared" si="2"/>
        <v>5.3970720530148619E-2</v>
      </c>
      <c r="G6" s="525"/>
      <c r="H6" s="477"/>
      <c r="I6" s="530"/>
      <c r="J6" s="538"/>
      <c r="K6" s="540"/>
      <c r="L6" s="471"/>
      <c r="M6" t="s">
        <v>751</v>
      </c>
      <c r="N6" s="114">
        <v>0</v>
      </c>
      <c r="O6" s="115">
        <f t="shared" si="0"/>
        <v>0</v>
      </c>
      <c r="R6" s="500"/>
      <c r="S6" s="481"/>
      <c r="T6" s="471"/>
      <c r="U6" s="133" t="s">
        <v>752</v>
      </c>
      <c r="V6" s="167">
        <f>SUM(K19:K22)</f>
        <v>19.890738104915755</v>
      </c>
      <c r="W6" s="175">
        <f>V6/$S$29</f>
        <v>5.4121813548365623E-3</v>
      </c>
      <c r="X6" s="15" t="str">
        <f>U6</f>
        <v>Déplacement professionel</v>
      </c>
      <c r="Y6" s="167">
        <f>SUM(K19:K22)</f>
        <v>19.890738104915755</v>
      </c>
      <c r="Z6" s="174">
        <f t="shared" si="1"/>
        <v>5.4121813548365623E-3</v>
      </c>
    </row>
    <row r="7" spans="1:26" ht="15" thickBot="1" x14ac:dyDescent="0.35">
      <c r="A7" s="108" t="s">
        <v>584</v>
      </c>
      <c r="B7" s="116">
        <v>19.890738104915755</v>
      </c>
      <c r="C7" s="110">
        <f t="shared" si="2"/>
        <v>5.4121636890795818E-3</v>
      </c>
      <c r="G7" s="525"/>
      <c r="H7" s="477"/>
      <c r="I7" s="530"/>
      <c r="J7" s="537" t="s">
        <v>753</v>
      </c>
      <c r="K7" s="539">
        <f t="shared" ref="K7" si="3">SUM(N7:N10)</f>
        <v>122.73090244156515</v>
      </c>
      <c r="L7" s="541">
        <f>K7/$B$15</f>
        <v>3.3394423586425317E-2</v>
      </c>
      <c r="M7" t="s">
        <v>741</v>
      </c>
      <c r="N7" s="114">
        <v>116.79049999999999</v>
      </c>
      <c r="O7" s="115">
        <f t="shared" si="0"/>
        <v>3.1778071783733139E-2</v>
      </c>
      <c r="R7" s="501"/>
      <c r="S7" s="482"/>
      <c r="T7" s="487"/>
      <c r="U7" s="176" t="s">
        <v>754</v>
      </c>
      <c r="V7" s="177">
        <f>SUM(K23)</f>
        <v>198.35</v>
      </c>
      <c r="W7" s="178">
        <f t="shared" ref="W7:W9" si="4">V7/$S$29</f>
        <v>5.397015264438719E-2</v>
      </c>
      <c r="X7" s="179" t="str">
        <f>U7</f>
        <v>Charroi Communale</v>
      </c>
      <c r="Y7" s="177">
        <f>V7</f>
        <v>198.35</v>
      </c>
      <c r="Z7" s="180">
        <f t="shared" si="1"/>
        <v>5.397015264438719E-2</v>
      </c>
    </row>
    <row r="8" spans="1:26" x14ac:dyDescent="0.3">
      <c r="A8" s="108" t="s">
        <v>755</v>
      </c>
      <c r="B8" s="116">
        <v>844.37293065765346</v>
      </c>
      <c r="C8" s="110">
        <f t="shared" si="2"/>
        <v>0.22974936833629478</v>
      </c>
      <c r="G8" s="525"/>
      <c r="H8" s="477"/>
      <c r="I8" s="530"/>
      <c r="J8" s="538"/>
      <c r="K8" s="540"/>
      <c r="L8" s="471"/>
      <c r="M8" t="s">
        <v>745</v>
      </c>
      <c r="N8" s="114">
        <v>5.9404024415651495</v>
      </c>
      <c r="O8" s="115">
        <f t="shared" si="0"/>
        <v>1.616351802692179E-3</v>
      </c>
      <c r="R8" s="502" t="s">
        <v>756</v>
      </c>
      <c r="S8" s="476">
        <f>SUM(V8:V13)</f>
        <v>1524.683491382724</v>
      </c>
      <c r="T8" s="473">
        <f>S8/$S$29</f>
        <v>0.41485959548425921</v>
      </c>
      <c r="U8" s="181" t="str">
        <f>J29</f>
        <v>Electricité</v>
      </c>
      <c r="V8" s="172">
        <f>K29</f>
        <v>108.09076719941901</v>
      </c>
      <c r="W8" s="182">
        <f t="shared" si="4"/>
        <v>2.9411016915561201E-2</v>
      </c>
      <c r="X8" s="171" t="str">
        <f>U8</f>
        <v>Electricité</v>
      </c>
      <c r="Y8" s="172">
        <f>V8</f>
        <v>108.09076719941901</v>
      </c>
      <c r="Z8" s="183">
        <f t="shared" si="1"/>
        <v>2.9411016915561201E-2</v>
      </c>
    </row>
    <row r="9" spans="1:26" x14ac:dyDescent="0.3">
      <c r="A9" s="108" t="s">
        <v>346</v>
      </c>
      <c r="B9" s="116">
        <v>378.29521400000004</v>
      </c>
      <c r="C9" s="110">
        <f t="shared" si="2"/>
        <v>0.10293210891240889</v>
      </c>
      <c r="G9" s="525"/>
      <c r="H9" s="477"/>
      <c r="I9" s="530"/>
      <c r="J9" s="538"/>
      <c r="K9" s="540"/>
      <c r="L9" s="471"/>
      <c r="M9" t="s">
        <v>748</v>
      </c>
      <c r="N9" s="114">
        <v>0</v>
      </c>
      <c r="O9" s="115">
        <f t="shared" si="0"/>
        <v>0</v>
      </c>
      <c r="R9" s="503"/>
      <c r="S9" s="477"/>
      <c r="T9" s="471"/>
      <c r="U9" s="467" t="str">
        <f>J36</f>
        <v>Gaz naturel</v>
      </c>
      <c r="V9" s="477">
        <f>K36</f>
        <v>1388.1024891833051</v>
      </c>
      <c r="W9" s="471">
        <f t="shared" si="4"/>
        <v>0.37769651236338192</v>
      </c>
      <c r="X9" s="15" t="s">
        <v>592</v>
      </c>
      <c r="Y9" s="167">
        <f>N36</f>
        <v>533.90660400000002</v>
      </c>
      <c r="Z9" s="184">
        <f t="shared" si="1"/>
        <v>0.145273611876614</v>
      </c>
    </row>
    <row r="10" spans="1:26" x14ac:dyDescent="0.3">
      <c r="A10" s="108" t="s">
        <v>757</v>
      </c>
      <c r="B10" s="116">
        <v>415.15715160000002</v>
      </c>
      <c r="C10" s="110">
        <f t="shared" si="2"/>
        <v>0.11296204541529475</v>
      </c>
      <c r="G10" s="525"/>
      <c r="H10" s="477"/>
      <c r="I10" s="530"/>
      <c r="J10" s="538"/>
      <c r="K10" s="540"/>
      <c r="L10" s="471"/>
      <c r="M10" t="s">
        <v>751</v>
      </c>
      <c r="N10" s="114">
        <v>0</v>
      </c>
      <c r="O10" s="115">
        <f t="shared" si="0"/>
        <v>0</v>
      </c>
      <c r="R10" s="503"/>
      <c r="S10" s="477"/>
      <c r="T10" s="471"/>
      <c r="U10" s="467"/>
      <c r="V10" s="477"/>
      <c r="W10" s="471"/>
      <c r="X10" s="15" t="s">
        <v>749</v>
      </c>
      <c r="Y10" s="167">
        <f>N37</f>
        <v>211.12615800000003</v>
      </c>
      <c r="Z10" s="184">
        <f t="shared" si="1"/>
        <v>5.7446488401729313E-2</v>
      </c>
    </row>
    <row r="11" spans="1:26" x14ac:dyDescent="0.3">
      <c r="A11" s="108" t="s">
        <v>758</v>
      </c>
      <c r="B11" s="116">
        <v>46.797749999999994</v>
      </c>
      <c r="C11" s="110">
        <f t="shared" si="2"/>
        <v>1.2733418033292069E-2</v>
      </c>
      <c r="F11" t="s">
        <v>739</v>
      </c>
      <c r="G11" s="525"/>
      <c r="H11" s="477"/>
      <c r="I11" s="530"/>
      <c r="J11" s="537" t="s">
        <v>759</v>
      </c>
      <c r="K11" s="539">
        <f t="shared" ref="K11" si="5">SUM(N11:N14)</f>
        <v>33.112067303894932</v>
      </c>
      <c r="L11" s="541">
        <f>K11/$B$15</f>
        <v>9.0096168069404292E-3</v>
      </c>
      <c r="M11" t="s">
        <v>741</v>
      </c>
      <c r="N11" s="114">
        <v>32.649509199999997</v>
      </c>
      <c r="O11" s="115">
        <f t="shared" si="0"/>
        <v>8.8837572153664512E-3</v>
      </c>
      <c r="R11" s="503"/>
      <c r="S11" s="477"/>
      <c r="T11" s="471"/>
      <c r="U11" s="467"/>
      <c r="V11" s="477"/>
      <c r="W11" s="471"/>
      <c r="X11" s="15" t="s">
        <v>760</v>
      </c>
      <c r="Y11" s="167">
        <f>N38</f>
        <v>506.80598118330505</v>
      </c>
      <c r="Z11" s="184">
        <f t="shared" si="1"/>
        <v>0.1378996529647159</v>
      </c>
    </row>
    <row r="12" spans="1:26" x14ac:dyDescent="0.3">
      <c r="A12" s="108" t="s">
        <v>761</v>
      </c>
      <c r="B12" s="116">
        <v>3.964</v>
      </c>
      <c r="C12" s="110">
        <f t="shared" si="2"/>
        <v>1.0785832456468476E-3</v>
      </c>
      <c r="G12" s="525"/>
      <c r="H12" s="477"/>
      <c r="I12" s="530"/>
      <c r="J12" s="538"/>
      <c r="K12" s="540"/>
      <c r="L12" s="471"/>
      <c r="M12" t="s">
        <v>745</v>
      </c>
      <c r="N12" s="114">
        <v>0.46255810389493485</v>
      </c>
      <c r="O12" s="115">
        <f t="shared" si="0"/>
        <v>1.2585959157397845E-4</v>
      </c>
      <c r="R12" s="503"/>
      <c r="S12" s="477"/>
      <c r="T12" s="471"/>
      <c r="U12" s="467"/>
      <c r="V12" s="477"/>
      <c r="W12" s="471"/>
      <c r="X12" s="15" t="s">
        <v>762</v>
      </c>
      <c r="Y12" s="167">
        <f>N39</f>
        <v>136.26374600000003</v>
      </c>
      <c r="Z12" s="184">
        <f t="shared" si="1"/>
        <v>3.707675912032269E-2</v>
      </c>
    </row>
    <row r="13" spans="1:26" ht="14.4" customHeight="1" thickBot="1" x14ac:dyDescent="0.35">
      <c r="A13" s="108" t="s">
        <v>763</v>
      </c>
      <c r="B13" s="116">
        <v>233.84059999999999</v>
      </c>
      <c r="C13" s="110">
        <f t="shared" si="2"/>
        <v>6.3626779342080289E-2</v>
      </c>
      <c r="G13" s="525"/>
      <c r="H13" s="477"/>
      <c r="I13" s="530"/>
      <c r="J13" s="538"/>
      <c r="K13" s="540"/>
      <c r="L13" s="471"/>
      <c r="M13" t="s">
        <v>748</v>
      </c>
      <c r="N13" s="114">
        <v>0</v>
      </c>
      <c r="O13" s="115">
        <f t="shared" si="0"/>
        <v>0</v>
      </c>
      <c r="R13" s="504"/>
      <c r="S13" s="483"/>
      <c r="T13" s="488"/>
      <c r="U13" s="185" t="str">
        <f>J40</f>
        <v xml:space="preserve">Mazout </v>
      </c>
      <c r="V13" s="186">
        <f>K40</f>
        <v>28.490234999999998</v>
      </c>
      <c r="W13" s="187">
        <f t="shared" ref="W13:W14" si="6">V13/$S$29</f>
        <v>7.7520662053161705E-3</v>
      </c>
      <c r="X13" s="188" t="str">
        <f>U13</f>
        <v xml:space="preserve">Mazout </v>
      </c>
      <c r="Y13" s="186">
        <f>V13</f>
        <v>28.490234999999998</v>
      </c>
      <c r="Z13" s="189">
        <f t="shared" si="1"/>
        <v>7.7520662053161705E-3</v>
      </c>
    </row>
    <row r="14" spans="1:26" x14ac:dyDescent="0.3">
      <c r="A14" s="108" t="s">
        <v>764</v>
      </c>
      <c r="B14" s="109">
        <v>9.8379232181999985</v>
      </c>
      <c r="C14" s="110">
        <f t="shared" si="2"/>
        <v>2.6768464064355789E-3</v>
      </c>
      <c r="G14" s="525"/>
      <c r="H14" s="477"/>
      <c r="I14" s="530"/>
      <c r="J14" s="538"/>
      <c r="K14" s="540"/>
      <c r="L14" s="471"/>
      <c r="M14" t="s">
        <v>751</v>
      </c>
      <c r="N14" s="114">
        <v>0</v>
      </c>
      <c r="O14" s="115">
        <f t="shared" si="0"/>
        <v>0</v>
      </c>
      <c r="P14" s="155"/>
      <c r="R14" s="505" t="s">
        <v>346</v>
      </c>
      <c r="S14" s="478">
        <f>H44</f>
        <v>378.29521400000004</v>
      </c>
      <c r="T14" s="474">
        <f>S14/$S$29</f>
        <v>0.10293244489146015</v>
      </c>
      <c r="U14" s="479" t="str">
        <f>J44</f>
        <v>SPEV - territoire</v>
      </c>
      <c r="V14" s="478">
        <f>K44</f>
        <v>353.31924000000004</v>
      </c>
      <c r="W14" s="474">
        <f t="shared" si="6"/>
        <v>9.613659347113121E-2</v>
      </c>
      <c r="X14" s="190" t="str">
        <f>M44</f>
        <v>Corbeille et balayage</v>
      </c>
      <c r="Y14" s="191">
        <f>N44</f>
        <v>225.13865999999999</v>
      </c>
      <c r="Z14" s="192">
        <f t="shared" si="1"/>
        <v>6.1259227861622328E-2</v>
      </c>
    </row>
    <row r="15" spans="1:26" x14ac:dyDescent="0.3">
      <c r="A15" s="117" t="s">
        <v>765</v>
      </c>
      <c r="B15" s="118">
        <f>SUM(B3:B14)</f>
        <v>3675.1915218400327</v>
      </c>
      <c r="C15" s="119">
        <f>SUM(C3:C14)</f>
        <v>0.99999999999999989</v>
      </c>
      <c r="G15" s="525"/>
      <c r="H15" s="477"/>
      <c r="I15" s="530"/>
      <c r="J15" s="537" t="s">
        <v>766</v>
      </c>
      <c r="K15" s="539">
        <f t="shared" ref="K15" si="7">SUM(N15:N18)</f>
        <v>55.50939219757219</v>
      </c>
      <c r="L15" s="541">
        <f>K15/$B$15</f>
        <v>1.5103809384546221E-2</v>
      </c>
      <c r="M15" t="s">
        <v>741</v>
      </c>
      <c r="N15" s="114">
        <v>53.426195680000006</v>
      </c>
      <c r="O15" s="115">
        <f t="shared" si="0"/>
        <v>1.4536982729338547E-2</v>
      </c>
      <c r="R15" s="506"/>
      <c r="S15" s="477"/>
      <c r="T15" s="471"/>
      <c r="U15" s="467"/>
      <c r="V15" s="477"/>
      <c r="W15" s="471"/>
      <c r="X15" s="15" t="str">
        <f t="shared" ref="X15:X17" si="8">M45</f>
        <v>Versage sauvage</v>
      </c>
      <c r="Y15" s="167">
        <f>N45</f>
        <v>83.513400000000004</v>
      </c>
      <c r="Z15" s="193">
        <f t="shared" si="1"/>
        <v>2.272362463247676E-2</v>
      </c>
    </row>
    <row r="16" spans="1:26" x14ac:dyDescent="0.3">
      <c r="B16" s="120"/>
      <c r="G16" s="525"/>
      <c r="H16" s="477"/>
      <c r="I16" s="530"/>
      <c r="J16" s="538"/>
      <c r="K16" s="540"/>
      <c r="L16" s="471"/>
      <c r="M16" t="s">
        <v>745</v>
      </c>
      <c r="N16" s="114">
        <v>2.0831965175721807</v>
      </c>
      <c r="O16" s="115">
        <f t="shared" si="0"/>
        <v>5.6682665520767228E-4</v>
      </c>
      <c r="R16" s="506"/>
      <c r="S16" s="477"/>
      <c r="T16" s="471"/>
      <c r="U16" s="467"/>
      <c r="V16" s="477"/>
      <c r="W16" s="471"/>
      <c r="X16" s="15" t="str">
        <f t="shared" si="8"/>
        <v>Déchets ménagers encombrant</v>
      </c>
      <c r="Y16" s="167">
        <f>N46</f>
        <v>44.667180000000002</v>
      </c>
      <c r="Z16" s="193">
        <f t="shared" si="1"/>
        <v>1.2153740977032109E-2</v>
      </c>
    </row>
    <row r="17" spans="1:29" ht="14.4" customHeight="1" x14ac:dyDescent="0.3">
      <c r="B17" s="120"/>
      <c r="G17" s="525"/>
      <c r="H17" s="477"/>
      <c r="I17" s="530"/>
      <c r="J17" s="538"/>
      <c r="K17" s="540"/>
      <c r="L17" s="471"/>
      <c r="M17" t="s">
        <v>748</v>
      </c>
      <c r="N17" s="114">
        <v>0</v>
      </c>
      <c r="O17" s="115">
        <f t="shared" si="0"/>
        <v>0</v>
      </c>
      <c r="R17" s="506"/>
      <c r="S17" s="477"/>
      <c r="T17" s="471"/>
      <c r="U17" s="467"/>
      <c r="V17" s="477"/>
      <c r="W17" s="471"/>
      <c r="X17" s="15" t="str">
        <f t="shared" si="8"/>
        <v>Boues</v>
      </c>
      <c r="Y17" s="167">
        <f>N47</f>
        <v>0</v>
      </c>
      <c r="Z17" s="193">
        <f t="shared" si="1"/>
        <v>0</v>
      </c>
    </row>
    <row r="18" spans="1:29" ht="15" thickBot="1" x14ac:dyDescent="0.35">
      <c r="A18" s="106" t="s">
        <v>702</v>
      </c>
      <c r="B18" s="121">
        <v>2019</v>
      </c>
      <c r="C18" s="106" t="s">
        <v>736</v>
      </c>
      <c r="G18" s="525"/>
      <c r="H18" s="477"/>
      <c r="I18" s="530"/>
      <c r="J18" s="538"/>
      <c r="K18" s="540"/>
      <c r="L18" s="471"/>
      <c r="M18" t="s">
        <v>751</v>
      </c>
      <c r="N18" s="114">
        <v>0</v>
      </c>
      <c r="O18" s="115">
        <f t="shared" si="0"/>
        <v>0</v>
      </c>
      <c r="R18" s="507"/>
      <c r="S18" s="484"/>
      <c r="T18" s="489"/>
      <c r="U18" s="194" t="str">
        <f>J48</f>
        <v>Batiments communaux</v>
      </c>
      <c r="V18" s="195">
        <f>K48</f>
        <v>24.975974000000001</v>
      </c>
      <c r="W18" s="196">
        <f t="shared" ref="W18:W22" si="9">V18/$S$29</f>
        <v>6.795851420328943E-3</v>
      </c>
      <c r="X18" s="197" t="str">
        <f t="shared" ref="X18:Y21" si="10">U18</f>
        <v>Batiments communaux</v>
      </c>
      <c r="Y18" s="195">
        <f t="shared" si="10"/>
        <v>24.975974000000001</v>
      </c>
      <c r="Z18" s="198">
        <f t="shared" si="1"/>
        <v>6.795851420328943E-3</v>
      </c>
    </row>
    <row r="19" spans="1:29" x14ac:dyDescent="0.3">
      <c r="A19" s="108" t="s">
        <v>756</v>
      </c>
      <c r="B19" s="109">
        <v>1723.0352142592631</v>
      </c>
      <c r="C19" s="110">
        <v>0.46882868661946708</v>
      </c>
      <c r="G19" s="525"/>
      <c r="H19" s="477"/>
      <c r="I19" s="530"/>
      <c r="J19" s="542" t="s">
        <v>767</v>
      </c>
      <c r="K19" s="546">
        <f>SUM(N19:N21)</f>
        <v>5.0924000049157545</v>
      </c>
      <c r="L19" s="523">
        <f>K19/$B$15</f>
        <v>1.3856148651448178E-3</v>
      </c>
      <c r="M19" s="111" t="s">
        <v>768</v>
      </c>
      <c r="N19" s="112">
        <v>4.7430000000000003</v>
      </c>
      <c r="O19" s="113">
        <f t="shared" si="0"/>
        <v>1.2905449884215436E-3</v>
      </c>
      <c r="R19" s="508" t="s">
        <v>769</v>
      </c>
      <c r="S19" s="485">
        <f>H51</f>
        <v>709.58715159999997</v>
      </c>
      <c r="T19" s="490">
        <f>S19/$S$29</f>
        <v>0.19307550736752163</v>
      </c>
      <c r="U19" s="199" t="str">
        <f>J51</f>
        <v>Papier</v>
      </c>
      <c r="V19" s="200">
        <f>K51</f>
        <v>9.83</v>
      </c>
      <c r="W19" s="201">
        <f t="shared" si="9"/>
        <v>2.6746992714611851E-3</v>
      </c>
      <c r="X19" s="202" t="str">
        <f t="shared" si="10"/>
        <v>Papier</v>
      </c>
      <c r="Y19" s="200">
        <f t="shared" si="10"/>
        <v>9.83</v>
      </c>
      <c r="Z19" s="203">
        <f t="shared" si="1"/>
        <v>2.6746992714611851E-3</v>
      </c>
    </row>
    <row r="20" spans="1:29" x14ac:dyDescent="0.3">
      <c r="A20" s="108" t="s">
        <v>739</v>
      </c>
      <c r="B20" s="109">
        <v>864.26366876256918</v>
      </c>
      <c r="C20" s="110">
        <v>0.23516153202537435</v>
      </c>
      <c r="G20" s="525"/>
      <c r="H20" s="477"/>
      <c r="I20" s="530"/>
      <c r="J20" s="537"/>
      <c r="K20" s="540"/>
      <c r="L20" s="471"/>
      <c r="M20" t="s">
        <v>770</v>
      </c>
      <c r="N20" s="114">
        <v>0.25067632254719996</v>
      </c>
      <c r="O20" s="115">
        <f t="shared" si="0"/>
        <v>6.8207689601355951E-5</v>
      </c>
      <c r="R20" s="509"/>
      <c r="S20" s="477"/>
      <c r="T20" s="471"/>
      <c r="U20" s="133" t="str">
        <f t="shared" ref="U20:V22" si="11">J53</f>
        <v xml:space="preserve">Entretien </v>
      </c>
      <c r="V20" s="167">
        <f t="shared" si="11"/>
        <v>3.96</v>
      </c>
      <c r="W20" s="175">
        <f t="shared" si="9"/>
        <v>1.0774983840270899E-3</v>
      </c>
      <c r="X20" s="15" t="str">
        <f t="shared" si="10"/>
        <v xml:space="preserve">Entretien </v>
      </c>
      <c r="Y20" s="167">
        <f t="shared" si="10"/>
        <v>3.96</v>
      </c>
      <c r="Z20" s="204">
        <f t="shared" si="1"/>
        <v>1.0774983840270899E-3</v>
      </c>
    </row>
    <row r="21" spans="1:29" ht="14.4" customHeight="1" x14ac:dyDescent="0.3">
      <c r="A21" s="108" t="s">
        <v>771</v>
      </c>
      <c r="B21" s="109">
        <v>1087.8926388182001</v>
      </c>
      <c r="C21" s="110">
        <v>0.29600978135515843</v>
      </c>
      <c r="G21" s="525"/>
      <c r="H21" s="477"/>
      <c r="I21" s="530"/>
      <c r="J21" s="537"/>
      <c r="K21" s="540"/>
      <c r="L21" s="471"/>
      <c r="M21" t="s">
        <v>745</v>
      </c>
      <c r="N21" s="114">
        <v>9.8723682368553986E-2</v>
      </c>
      <c r="O21" s="115">
        <f t="shared" si="0"/>
        <v>2.686218712191812E-5</v>
      </c>
      <c r="R21" s="509"/>
      <c r="S21" s="477"/>
      <c r="T21" s="471"/>
      <c r="U21" s="133" t="str">
        <f t="shared" si="11"/>
        <v xml:space="preserve">Plantation </v>
      </c>
      <c r="V21" s="167">
        <f t="shared" si="11"/>
        <v>46.8</v>
      </c>
      <c r="W21" s="175">
        <f t="shared" si="9"/>
        <v>1.2734071811229243E-2</v>
      </c>
      <c r="X21" s="15" t="str">
        <f t="shared" si="10"/>
        <v xml:space="preserve">Plantation </v>
      </c>
      <c r="Y21" s="167">
        <f t="shared" si="10"/>
        <v>46.8</v>
      </c>
      <c r="Z21" s="204">
        <f t="shared" si="1"/>
        <v>1.2734071811229243E-2</v>
      </c>
    </row>
    <row r="22" spans="1:29" ht="28.35" customHeight="1" thickBot="1" x14ac:dyDescent="0.35">
      <c r="A22" s="108" t="s">
        <v>765</v>
      </c>
      <c r="B22" s="109">
        <f>SUM(B19:B21)</f>
        <v>3675.1915218400327</v>
      </c>
      <c r="C22" s="110">
        <f>SUM(C19:C21)</f>
        <v>0.99999999999999989</v>
      </c>
      <c r="G22" s="525"/>
      <c r="H22" s="477"/>
      <c r="I22" s="530"/>
      <c r="J22" s="166" t="s">
        <v>772</v>
      </c>
      <c r="K22" s="165">
        <f>N22</f>
        <v>14.7983381</v>
      </c>
      <c r="L22" s="164">
        <f>K22/$B$15</f>
        <v>4.0265488239347646E-3</v>
      </c>
      <c r="M22" t="s">
        <v>773</v>
      </c>
      <c r="N22" s="114">
        <v>14.7983381</v>
      </c>
      <c r="O22" s="115">
        <f t="shared" si="0"/>
        <v>4.0265488239347646E-3</v>
      </c>
      <c r="R22" s="509"/>
      <c r="S22" s="477"/>
      <c r="T22" s="471"/>
      <c r="U22" s="467" t="str">
        <f t="shared" si="11"/>
        <v>IT</v>
      </c>
      <c r="V22" s="477">
        <f t="shared" si="11"/>
        <v>233.84</v>
      </c>
      <c r="W22" s="471">
        <f t="shared" si="9"/>
        <v>6.3626823767902699E-2</v>
      </c>
      <c r="X22" s="15" t="str">
        <f t="shared" ref="X22:X26" si="12">M55</f>
        <v>Ecoles</v>
      </c>
      <c r="Y22" s="167">
        <f>N55</f>
        <v>0.76</v>
      </c>
      <c r="Z22" s="204">
        <f t="shared" si="1"/>
        <v>2.0679261915671423E-4</v>
      </c>
    </row>
    <row r="23" spans="1:29" x14ac:dyDescent="0.3">
      <c r="G23" s="525"/>
      <c r="H23" s="477"/>
      <c r="I23" s="530"/>
      <c r="J23" s="544" t="s">
        <v>774</v>
      </c>
      <c r="K23" s="546">
        <f>SUM(N23:N28)</f>
        <v>198.35</v>
      </c>
      <c r="L23" s="523">
        <f>K23/$B$15</f>
        <v>5.3969976481849709E-2</v>
      </c>
      <c r="M23" s="111" t="s">
        <v>773</v>
      </c>
      <c r="N23" s="112">
        <f>168.25/36*1</f>
        <v>4.6736111111111107</v>
      </c>
      <c r="O23" s="113">
        <f t="shared" si="0"/>
        <v>1.2716646420568598E-3</v>
      </c>
      <c r="R23" s="509"/>
      <c r="S23" s="477"/>
      <c r="T23" s="471"/>
      <c r="U23" s="467"/>
      <c r="V23" s="477"/>
      <c r="W23" s="471"/>
      <c r="X23" s="15" t="str">
        <f t="shared" si="12"/>
        <v>Administration</v>
      </c>
      <c r="Y23" s="167">
        <f>N56</f>
        <v>233.08</v>
      </c>
      <c r="Z23" s="204">
        <f t="shared" si="1"/>
        <v>6.3420031148745989E-2</v>
      </c>
    </row>
    <row r="24" spans="1:29" x14ac:dyDescent="0.3">
      <c r="G24" s="525"/>
      <c r="H24" s="477"/>
      <c r="I24" s="530"/>
      <c r="J24" s="538"/>
      <c r="K24" s="540"/>
      <c r="L24" s="471"/>
      <c r="M24" t="s">
        <v>775</v>
      </c>
      <c r="N24" s="114">
        <f>168.25/36*3</f>
        <v>14.020833333333332</v>
      </c>
      <c r="O24" s="115">
        <f t="shared" si="0"/>
        <v>3.8149939261705791E-3</v>
      </c>
      <c r="R24" s="509"/>
      <c r="S24" s="477"/>
      <c r="T24" s="471"/>
      <c r="U24" s="467" t="str">
        <f>J57</f>
        <v>Alimentation</v>
      </c>
      <c r="V24" s="469">
        <f>K57</f>
        <v>415.15715160000002</v>
      </c>
      <c r="W24" s="471">
        <f t="shared" ref="W24" si="13">V24/$S$29</f>
        <v>0.11296241413290141</v>
      </c>
      <c r="X24" s="15" t="str">
        <f t="shared" si="12"/>
        <v>Ecoles</v>
      </c>
      <c r="Y24" s="167">
        <f>N57</f>
        <v>357.11655000000002</v>
      </c>
      <c r="Z24" s="204">
        <f t="shared" si="1"/>
        <v>9.7169824629881177E-2</v>
      </c>
    </row>
    <row r="25" spans="1:29" ht="15" customHeight="1" x14ac:dyDescent="0.3">
      <c r="A25" s="11"/>
      <c r="B25" s="11"/>
      <c r="C25" s="11"/>
      <c r="G25" s="525"/>
      <c r="H25" s="477"/>
      <c r="I25" s="530"/>
      <c r="J25" s="538"/>
      <c r="K25" s="540"/>
      <c r="L25" s="471"/>
      <c r="M25" t="s">
        <v>776</v>
      </c>
      <c r="N25" s="114">
        <f>(168.25/36*26)+(30.03/11*3)</f>
        <v>129.70388888888888</v>
      </c>
      <c r="O25" s="115">
        <f t="shared" si="0"/>
        <v>3.5291735986578171E-2</v>
      </c>
      <c r="R25" s="509"/>
      <c r="S25" s="477"/>
      <c r="T25" s="471"/>
      <c r="U25" s="467"/>
      <c r="V25" s="469"/>
      <c r="W25" s="471"/>
      <c r="X25" s="15" t="str">
        <f t="shared" si="12"/>
        <v>Denrées alimentaires</v>
      </c>
      <c r="Y25" s="167">
        <f>N58</f>
        <v>42.621399999999994</v>
      </c>
      <c r="Z25" s="204">
        <f t="shared" si="1"/>
        <v>1.1597093339639444E-2</v>
      </c>
    </row>
    <row r="26" spans="1:29" ht="15" thickBot="1" x14ac:dyDescent="0.35">
      <c r="A26" s="11"/>
      <c r="B26" s="11"/>
      <c r="C26" s="11"/>
      <c r="G26" s="525"/>
      <c r="H26" s="477"/>
      <c r="I26" s="530"/>
      <c r="J26" s="538"/>
      <c r="K26" s="540"/>
      <c r="L26" s="471"/>
      <c r="M26" t="s">
        <v>777</v>
      </c>
      <c r="N26" s="114">
        <f>(168.25/36*3)+(30.03/11*8)</f>
        <v>35.860833333333332</v>
      </c>
      <c r="O26" s="115">
        <f t="shared" si="0"/>
        <v>9.7575413744367626E-3</v>
      </c>
      <c r="R26" s="510"/>
      <c r="S26" s="486"/>
      <c r="T26" s="472"/>
      <c r="U26" s="468"/>
      <c r="V26" s="470"/>
      <c r="W26" s="472"/>
      <c r="X26" s="205" t="str">
        <f t="shared" si="12"/>
        <v>Crèches</v>
      </c>
      <c r="Y26" s="206">
        <f>N59</f>
        <v>15.419201599999999</v>
      </c>
      <c r="Z26" s="207">
        <f t="shared" si="1"/>
        <v>4.1954961633807871E-3</v>
      </c>
    </row>
    <row r="27" spans="1:29" x14ac:dyDescent="0.3">
      <c r="A27" s="11"/>
      <c r="B27" s="11"/>
      <c r="C27" s="11"/>
      <c r="G27" s="525"/>
      <c r="H27" s="477"/>
      <c r="I27" s="530"/>
      <c r="J27" s="538"/>
      <c r="K27" s="540"/>
      <c r="L27" s="471"/>
      <c r="M27" t="s">
        <v>778</v>
      </c>
      <c r="N27" s="114">
        <v>7.0000000000000007E-2</v>
      </c>
      <c r="O27" s="115">
        <f t="shared" si="0"/>
        <v>1.904662643675059E-5</v>
      </c>
    </row>
    <row r="28" spans="1:29" ht="15" thickBot="1" x14ac:dyDescent="0.35">
      <c r="A28" s="11"/>
      <c r="B28" s="11"/>
      <c r="C28" s="11"/>
      <c r="G28" s="525"/>
      <c r="H28" s="528"/>
      <c r="I28" s="531"/>
      <c r="J28" s="545"/>
      <c r="K28" s="547"/>
      <c r="L28" s="512"/>
      <c r="M28" s="122" t="s">
        <v>779</v>
      </c>
      <c r="N28" s="123">
        <f>168.25/36*3</f>
        <v>14.020833333333332</v>
      </c>
      <c r="O28" s="124">
        <f t="shared" si="0"/>
        <v>3.8149939261705791E-3</v>
      </c>
    </row>
    <row r="29" spans="1:29" x14ac:dyDescent="0.3">
      <c r="A29" s="11"/>
      <c r="B29" s="11"/>
      <c r="F29" s="105"/>
      <c r="G29" s="524" t="s">
        <v>756</v>
      </c>
      <c r="H29" s="533">
        <f>SUM(K29:K43)</f>
        <v>1524.683491382724</v>
      </c>
      <c r="I29" s="523">
        <f>H29/SUM($H$3:$H$59)</f>
        <v>0.41485959548425921</v>
      </c>
      <c r="J29" s="462" t="s">
        <v>744</v>
      </c>
      <c r="K29" s="481">
        <f>SUM(N29:N35)</f>
        <v>108.09076719941901</v>
      </c>
      <c r="L29" s="471">
        <f>K29/$B$15</f>
        <v>2.9410920915844393E-2</v>
      </c>
      <c r="M29" t="s">
        <v>592</v>
      </c>
      <c r="N29" s="114">
        <f>7.6047954930675+4.02</f>
        <v>11.624795493067499</v>
      </c>
      <c r="O29" s="115">
        <f t="shared" ref="O29:O59" si="14">N29/$B$15</f>
        <v>3.1630448165725503E-3</v>
      </c>
      <c r="S29" s="156">
        <f>H62</f>
        <v>3675.1795257452932</v>
      </c>
      <c r="V29" s="167">
        <f>SUM(V3:V26)</f>
        <v>3675.1795257452936</v>
      </c>
      <c r="Y29" s="156">
        <f>SUM(Y3:Y26)</f>
        <v>3675.1795257452941</v>
      </c>
      <c r="Z29" s="151">
        <f>SUM(Z3,Z9,Z11,Z14,Z23,Z24)</f>
        <v>0.67726442925074959</v>
      </c>
      <c r="AB29" s="104"/>
      <c r="AC29" s="104"/>
    </row>
    <row r="30" spans="1:29" x14ac:dyDescent="0.3">
      <c r="A30" s="11"/>
      <c r="B30" s="11"/>
      <c r="F30" s="105"/>
      <c r="G30" s="525"/>
      <c r="H30" s="534"/>
      <c r="I30" s="471"/>
      <c r="J30" s="462"/>
      <c r="K30" s="481"/>
      <c r="L30" s="471"/>
      <c r="M30" t="s">
        <v>749</v>
      </c>
      <c r="N30" s="114">
        <f>6.09299596035+3.22</f>
        <v>9.3129959603499994</v>
      </c>
      <c r="O30" s="115">
        <f t="shared" si="14"/>
        <v>2.5340165009107678E-3</v>
      </c>
    </row>
    <row r="31" spans="1:29" x14ac:dyDescent="0.3">
      <c r="A31" s="11"/>
      <c r="B31" s="11"/>
      <c r="F31" s="105"/>
      <c r="G31" s="525"/>
      <c r="H31" s="534"/>
      <c r="I31" s="471"/>
      <c r="J31" s="462"/>
      <c r="K31" s="481"/>
      <c r="L31" s="471"/>
      <c r="M31" t="s">
        <v>760</v>
      </c>
      <c r="N31" s="114">
        <f>19.4337799637715+10.27</f>
        <v>29.703779963771499</v>
      </c>
      <c r="O31" s="115">
        <f t="shared" si="14"/>
        <v>8.0822400104198951E-3</v>
      </c>
      <c r="AC31" s="246"/>
    </row>
    <row r="32" spans="1:29" x14ac:dyDescent="0.3">
      <c r="A32" s="11"/>
      <c r="B32" s="11"/>
      <c r="F32" s="105"/>
      <c r="G32" s="525"/>
      <c r="H32" s="534"/>
      <c r="I32" s="471"/>
      <c r="J32" s="462"/>
      <c r="K32" s="481"/>
      <c r="L32" s="471"/>
      <c r="M32" t="s">
        <v>762</v>
      </c>
      <c r="N32" s="114">
        <f>1.21043605215+0.64</f>
        <v>1.8504360521500001</v>
      </c>
      <c r="O32" s="115">
        <f t="shared" si="14"/>
        <v>5.0349377471995121E-4</v>
      </c>
      <c r="AC32" s="151"/>
    </row>
    <row r="33" spans="1:29" x14ac:dyDescent="0.3">
      <c r="A33" s="11"/>
      <c r="B33" s="11"/>
      <c r="F33" s="105"/>
      <c r="G33" s="525"/>
      <c r="H33" s="534"/>
      <c r="I33" s="471"/>
      <c r="J33" s="462"/>
      <c r="K33" s="481"/>
      <c r="L33" s="471"/>
      <c r="M33" t="s">
        <v>780</v>
      </c>
      <c r="N33" s="114">
        <f>3.79312570143+2</f>
        <v>5.7931257014300002</v>
      </c>
      <c r="O33" s="115">
        <f t="shared" si="14"/>
        <v>1.5762785876610849E-3</v>
      </c>
      <c r="AC33" s="246"/>
    </row>
    <row r="34" spans="1:29" x14ac:dyDescent="0.3">
      <c r="A34" s="11"/>
      <c r="B34" s="11"/>
      <c r="F34" s="105"/>
      <c r="G34" s="525"/>
      <c r="H34" s="534"/>
      <c r="I34" s="471"/>
      <c r="J34" s="462"/>
      <c r="K34" s="481"/>
      <c r="L34" s="471"/>
      <c r="M34" t="s">
        <v>781</v>
      </c>
      <c r="N34" s="114">
        <v>32.885634028649996</v>
      </c>
      <c r="O34" s="115">
        <f t="shared" si="14"/>
        <v>8.9480055211341395E-3</v>
      </c>
    </row>
    <row r="35" spans="1:29" ht="15" thickBot="1" x14ac:dyDescent="0.35">
      <c r="A35" s="11"/>
      <c r="B35" s="11"/>
      <c r="F35" s="105" t="s">
        <v>756</v>
      </c>
      <c r="G35" s="525"/>
      <c r="H35" s="534"/>
      <c r="I35" s="471"/>
      <c r="J35" s="462"/>
      <c r="K35" s="481"/>
      <c r="L35" s="471"/>
      <c r="M35" t="s">
        <v>782</v>
      </c>
      <c r="N35" s="114">
        <v>16.920000000000002</v>
      </c>
      <c r="O35" s="115">
        <f t="shared" si="14"/>
        <v>4.6038417044260002E-3</v>
      </c>
      <c r="R35" s="4" t="s">
        <v>783</v>
      </c>
      <c r="S35" s="4" t="s">
        <v>784</v>
      </c>
    </row>
    <row r="36" spans="1:29" x14ac:dyDescent="0.3">
      <c r="A36" s="11"/>
      <c r="B36" s="11"/>
      <c r="F36" s="105"/>
      <c r="G36" s="525"/>
      <c r="H36" s="534"/>
      <c r="I36" s="471"/>
      <c r="J36" s="462" t="s">
        <v>738</v>
      </c>
      <c r="K36" s="481">
        <f>SUM(N36:N39)</f>
        <v>1388.1024891833051</v>
      </c>
      <c r="L36" s="471">
        <f>K36/$B$15</f>
        <v>0.37769527953425769</v>
      </c>
      <c r="M36" t="s">
        <v>592</v>
      </c>
      <c r="N36" s="114">
        <v>533.90660400000002</v>
      </c>
      <c r="O36" s="115">
        <f t="shared" si="14"/>
        <v>0.14527313769288755</v>
      </c>
      <c r="Q36" s="151"/>
      <c r="R36" s="420" t="s">
        <v>785</v>
      </c>
      <c r="S36" s="421">
        <v>0.75840000000000007</v>
      </c>
    </row>
    <row r="37" spans="1:29" x14ac:dyDescent="0.3">
      <c r="A37" s="11"/>
      <c r="B37" s="11"/>
      <c r="F37" s="105"/>
      <c r="G37" s="525"/>
      <c r="H37" s="534"/>
      <c r="I37" s="471"/>
      <c r="J37" s="462"/>
      <c r="K37" s="481"/>
      <c r="L37" s="471"/>
      <c r="M37" t="s">
        <v>749</v>
      </c>
      <c r="N37" s="114">
        <v>211.12615800000003</v>
      </c>
      <c r="O37" s="115">
        <f t="shared" si="14"/>
        <v>5.7446300892176894E-2</v>
      </c>
      <c r="Q37" s="151"/>
      <c r="R37" s="422" t="s">
        <v>786</v>
      </c>
      <c r="S37" s="423">
        <v>3.87</v>
      </c>
    </row>
    <row r="38" spans="1:29" x14ac:dyDescent="0.3">
      <c r="A38" s="11"/>
      <c r="B38" s="11"/>
      <c r="F38" s="105"/>
      <c r="G38" s="525"/>
      <c r="H38" s="534"/>
      <c r="I38" s="471"/>
      <c r="J38" s="462"/>
      <c r="K38" s="481"/>
      <c r="L38" s="471"/>
      <c r="M38" t="s">
        <v>760</v>
      </c>
      <c r="N38" s="114">
        <v>506.80598118330505</v>
      </c>
      <c r="O38" s="115">
        <f t="shared" si="14"/>
        <v>0.1378992028501323</v>
      </c>
      <c r="Q38" s="151"/>
      <c r="R38" s="422" t="s">
        <v>787</v>
      </c>
      <c r="S38" s="423">
        <v>38.286629999999995</v>
      </c>
    </row>
    <row r="39" spans="1:29" x14ac:dyDescent="0.3">
      <c r="A39" s="11"/>
      <c r="B39" s="11"/>
      <c r="F39" s="105"/>
      <c r="G39" s="525"/>
      <c r="H39" s="534"/>
      <c r="I39" s="471"/>
      <c r="J39" s="462"/>
      <c r="K39" s="481"/>
      <c r="L39" s="471"/>
      <c r="M39" t="s">
        <v>762</v>
      </c>
      <c r="N39" s="114">
        <v>136.26374600000003</v>
      </c>
      <c r="O39" s="115">
        <f t="shared" si="14"/>
        <v>3.707663809906097E-2</v>
      </c>
      <c r="Q39" s="151"/>
      <c r="R39" s="422" t="s">
        <v>788</v>
      </c>
      <c r="S39" s="423">
        <v>43.122240000000005</v>
      </c>
    </row>
    <row r="40" spans="1:29" x14ac:dyDescent="0.3">
      <c r="A40" s="11"/>
      <c r="B40" s="11"/>
      <c r="F40" s="105"/>
      <c r="G40" s="525"/>
      <c r="H40" s="534"/>
      <c r="I40" s="471"/>
      <c r="J40" s="462" t="s">
        <v>789</v>
      </c>
      <c r="K40" s="481">
        <f>SUM(N40:N43)</f>
        <v>28.490234999999998</v>
      </c>
      <c r="L40" s="471">
        <f>K40/$B$15</f>
        <v>7.7520409020033843E-3</v>
      </c>
      <c r="M40" t="s">
        <v>592</v>
      </c>
      <c r="N40" s="114">
        <v>0.95372400000000002</v>
      </c>
      <c r="O40" s="115">
        <f t="shared" si="14"/>
        <v>2.5950321073947883E-4</v>
      </c>
      <c r="R40" s="422" t="s">
        <v>790</v>
      </c>
      <c r="S40" s="423">
        <v>2.3811300000000002</v>
      </c>
    </row>
    <row r="41" spans="1:29" x14ac:dyDescent="0.3">
      <c r="A41" s="11"/>
      <c r="B41" s="11"/>
      <c r="F41" s="105"/>
      <c r="G41" s="525"/>
      <c r="H41" s="534"/>
      <c r="I41" s="471"/>
      <c r="J41" s="462"/>
      <c r="K41" s="481"/>
      <c r="L41" s="471"/>
      <c r="M41" t="s">
        <v>749</v>
      </c>
      <c r="N41" s="114">
        <v>13.0296</v>
      </c>
      <c r="O41" s="115">
        <f t="shared" si="14"/>
        <v>3.5452846260040785E-3</v>
      </c>
      <c r="Q41" s="151"/>
      <c r="R41" s="422" t="s">
        <v>791</v>
      </c>
      <c r="S41" s="423">
        <v>9.2999999999999999E-2</v>
      </c>
    </row>
    <row r="42" spans="1:29" x14ac:dyDescent="0.3">
      <c r="A42" s="11"/>
      <c r="B42" s="11"/>
      <c r="F42" s="105"/>
      <c r="G42" s="525"/>
      <c r="H42" s="534"/>
      <c r="I42" s="471"/>
      <c r="J42" s="462"/>
      <c r="K42" s="481"/>
      <c r="L42" s="471"/>
      <c r="M42" t="s">
        <v>760</v>
      </c>
      <c r="N42" s="114">
        <v>14.506911000000001</v>
      </c>
      <c r="O42" s="115">
        <f t="shared" si="14"/>
        <v>3.9472530652598274E-3</v>
      </c>
      <c r="R42" s="422" t="s">
        <v>792</v>
      </c>
      <c r="S42" s="423">
        <v>3.5804999999999998</v>
      </c>
      <c r="T42" s="156"/>
      <c r="U42" s="151"/>
    </row>
    <row r="43" spans="1:29" ht="15" thickBot="1" x14ac:dyDescent="0.35">
      <c r="A43" s="11"/>
      <c r="B43" s="11"/>
      <c r="F43" s="105"/>
      <c r="G43" s="526"/>
      <c r="H43" s="535"/>
      <c r="I43" s="512"/>
      <c r="J43" s="495"/>
      <c r="K43" s="511"/>
      <c r="L43" s="512"/>
      <c r="M43" s="122" t="s">
        <v>762</v>
      </c>
      <c r="N43" s="123">
        <v>0</v>
      </c>
      <c r="O43" s="124">
        <f t="shared" si="14"/>
        <v>0</v>
      </c>
      <c r="R43" s="422" t="s">
        <v>793</v>
      </c>
      <c r="S43" s="423">
        <v>120.6</v>
      </c>
      <c r="T43" s="104"/>
      <c r="U43" s="150"/>
    </row>
    <row r="44" spans="1:29" x14ac:dyDescent="0.3">
      <c r="A44" s="11"/>
      <c r="B44" s="11"/>
      <c r="F44" s="105"/>
      <c r="G44" s="524" t="s">
        <v>346</v>
      </c>
      <c r="H44" s="527">
        <f>SUM(K44:K50)</f>
        <v>378.29521400000004</v>
      </c>
      <c r="I44" s="529">
        <f>H44/SUM($H$3:$H$59)</f>
        <v>0.10293244489146015</v>
      </c>
      <c r="J44" s="532" t="s">
        <v>794</v>
      </c>
      <c r="K44" s="522">
        <f>SUM(N44:N47)</f>
        <v>353.31924000000004</v>
      </c>
      <c r="L44" s="523">
        <f>K44/$B$15</f>
        <v>9.6136279674237532E-2</v>
      </c>
      <c r="M44" s="419" t="s">
        <v>795</v>
      </c>
      <c r="N44" s="112">
        <v>225.13865999999999</v>
      </c>
      <c r="O44" s="113">
        <f t="shared" si="14"/>
        <v>6.1259027907008608E-2</v>
      </c>
      <c r="R44" s="422" t="s">
        <v>796</v>
      </c>
      <c r="S44" s="423">
        <v>12.675000000000001</v>
      </c>
    </row>
    <row r="45" spans="1:29" x14ac:dyDescent="0.3">
      <c r="A45" s="11"/>
      <c r="B45" s="11"/>
      <c r="F45" s="105"/>
      <c r="G45" s="525"/>
      <c r="H45" s="477"/>
      <c r="I45" s="530"/>
      <c r="J45" s="462"/>
      <c r="K45" s="481"/>
      <c r="L45" s="471"/>
      <c r="M45" s="133" t="s">
        <v>797</v>
      </c>
      <c r="N45" s="114">
        <v>83.513400000000004</v>
      </c>
      <c r="O45" s="115">
        <f t="shared" si="14"/>
        <v>2.2723550460898953E-2</v>
      </c>
      <c r="R45" s="422" t="s">
        <v>798</v>
      </c>
      <c r="S45" s="423">
        <v>3.9543000000000004</v>
      </c>
    </row>
    <row r="46" spans="1:29" x14ac:dyDescent="0.3">
      <c r="A46" s="11"/>
      <c r="B46" s="11"/>
      <c r="F46" s="105"/>
      <c r="G46" s="525"/>
      <c r="H46" s="477"/>
      <c r="I46" s="530"/>
      <c r="J46" s="462"/>
      <c r="K46" s="481"/>
      <c r="L46" s="471"/>
      <c r="M46" s="133" t="s">
        <v>799</v>
      </c>
      <c r="N46" s="114">
        <v>44.667180000000002</v>
      </c>
      <c r="O46" s="115">
        <f t="shared" si="14"/>
        <v>1.2153701306329961E-2</v>
      </c>
      <c r="R46" s="422" t="s">
        <v>800</v>
      </c>
      <c r="S46" s="423">
        <v>0.20100000000000001</v>
      </c>
    </row>
    <row r="47" spans="1:29" x14ac:dyDescent="0.3">
      <c r="A47" s="11"/>
      <c r="B47" s="11"/>
      <c r="F47" s="105" t="s">
        <v>346</v>
      </c>
      <c r="G47" s="525"/>
      <c r="H47" s="477"/>
      <c r="I47" s="530"/>
      <c r="J47" s="462"/>
      <c r="K47" s="481"/>
      <c r="L47" s="471"/>
      <c r="M47" s="133" t="s">
        <v>801</v>
      </c>
      <c r="N47" s="114">
        <v>0</v>
      </c>
      <c r="O47" s="115">
        <f t="shared" si="14"/>
        <v>0</v>
      </c>
      <c r="R47" s="422" t="s">
        <v>802</v>
      </c>
      <c r="S47" s="423">
        <v>0</v>
      </c>
    </row>
    <row r="48" spans="1:29" x14ac:dyDescent="0.3">
      <c r="A48" s="11"/>
      <c r="B48" s="11"/>
      <c r="F48" s="105"/>
      <c r="G48" s="525"/>
      <c r="H48" s="477"/>
      <c r="I48" s="530"/>
      <c r="J48" s="462" t="s">
        <v>760</v>
      </c>
      <c r="K48" s="481">
        <f>SUM(N48:N50)</f>
        <v>24.975974000000001</v>
      </c>
      <c r="L48" s="471">
        <f>K48/$B$15</f>
        <v>6.7958292381713626E-3</v>
      </c>
      <c r="M48" s="133" t="s">
        <v>803</v>
      </c>
      <c r="N48" s="114">
        <v>16.09995</v>
      </c>
      <c r="O48" s="115">
        <f t="shared" si="14"/>
        <v>4.3807104757194668E-3</v>
      </c>
      <c r="R48" s="422" t="s">
        <v>804</v>
      </c>
      <c r="S48" s="423">
        <v>0.58030000000000004</v>
      </c>
    </row>
    <row r="49" spans="1:22" x14ac:dyDescent="0.3">
      <c r="A49" s="11"/>
      <c r="B49" s="11"/>
      <c r="F49" s="105"/>
      <c r="G49" s="525"/>
      <c r="H49" s="477"/>
      <c r="I49" s="530"/>
      <c r="J49" s="462"/>
      <c r="K49" s="481"/>
      <c r="L49" s="471"/>
      <c r="M49" s="133" t="s">
        <v>805</v>
      </c>
      <c r="N49" s="114">
        <v>6.3569599999999999</v>
      </c>
      <c r="O49" s="115">
        <f t="shared" si="14"/>
        <v>1.7296948913338003E-3</v>
      </c>
      <c r="R49" s="422" t="s">
        <v>806</v>
      </c>
      <c r="S49" s="423">
        <v>1.0491000000000001</v>
      </c>
    </row>
    <row r="50" spans="1:22" ht="15" thickBot="1" x14ac:dyDescent="0.35">
      <c r="A50" s="11"/>
      <c r="B50" s="11"/>
      <c r="F50" s="105"/>
      <c r="G50" s="525"/>
      <c r="H50" s="528"/>
      <c r="I50" s="530"/>
      <c r="J50" s="462"/>
      <c r="K50" s="481"/>
      <c r="L50" s="471"/>
      <c r="M50" s="133" t="s">
        <v>764</v>
      </c>
      <c r="N50" s="114">
        <v>2.5190640000000002</v>
      </c>
      <c r="O50" s="115">
        <f t="shared" si="14"/>
        <v>6.8542387111809563E-4</v>
      </c>
      <c r="R50" s="422" t="s">
        <v>807</v>
      </c>
      <c r="S50" s="423">
        <v>1.595</v>
      </c>
    </row>
    <row r="51" spans="1:22" x14ac:dyDescent="0.3">
      <c r="A51" s="11"/>
      <c r="B51" s="11"/>
      <c r="F51" s="105"/>
      <c r="G51" s="524" t="s">
        <v>769</v>
      </c>
      <c r="H51" s="527">
        <f>SUM(K51:K59)</f>
        <v>709.58715159999997</v>
      </c>
      <c r="I51" s="529">
        <f>H51/SUM($H$3:$H$59)</f>
        <v>0.19307550736752163</v>
      </c>
      <c r="J51" s="532" t="s">
        <v>764</v>
      </c>
      <c r="K51" s="522">
        <f>SUM(N51:N52)</f>
        <v>9.83</v>
      </c>
      <c r="L51" s="523">
        <f>K51/$B$15</f>
        <v>2.6746905410465469E-3</v>
      </c>
      <c r="M51" s="419" t="s">
        <v>808</v>
      </c>
      <c r="N51" s="112">
        <v>2.1</v>
      </c>
      <c r="O51" s="113">
        <f t="shared" si="14"/>
        <v>5.7139879310251778E-4</v>
      </c>
      <c r="R51" s="422" t="s">
        <v>809</v>
      </c>
      <c r="S51" s="423">
        <v>0.80400000000000005</v>
      </c>
    </row>
    <row r="52" spans="1:22" ht="15" thickBot="1" x14ac:dyDescent="0.35">
      <c r="A52" s="11"/>
      <c r="B52" s="11"/>
      <c r="F52" s="105"/>
      <c r="G52" s="525"/>
      <c r="H52" s="477"/>
      <c r="I52" s="530"/>
      <c r="J52" s="462"/>
      <c r="K52" s="481"/>
      <c r="L52" s="471"/>
      <c r="M52" s="133" t="s">
        <v>760</v>
      </c>
      <c r="N52" s="114">
        <v>7.73</v>
      </c>
      <c r="O52" s="115">
        <f t="shared" si="14"/>
        <v>2.1032917479440294E-3</v>
      </c>
      <c r="R52" s="424" t="s">
        <v>810</v>
      </c>
      <c r="S52" s="425">
        <v>0.28999999999999998</v>
      </c>
    </row>
    <row r="53" spans="1:22" x14ac:dyDescent="0.3">
      <c r="A53" s="11"/>
      <c r="B53" s="11"/>
      <c r="F53" s="105" t="s">
        <v>769</v>
      </c>
      <c r="G53" s="525"/>
      <c r="H53" s="477"/>
      <c r="I53" s="530"/>
      <c r="J53" s="11" t="s">
        <v>811</v>
      </c>
      <c r="K53" s="170">
        <f>N53</f>
        <v>3.96</v>
      </c>
      <c r="L53" s="164">
        <f>K53/$B$15</f>
        <v>1.0774948669933192E-3</v>
      </c>
      <c r="M53" s="415"/>
      <c r="N53" s="114">
        <v>3.96</v>
      </c>
      <c r="O53" s="115">
        <f t="shared" si="14"/>
        <v>1.0774948669933192E-3</v>
      </c>
    </row>
    <row r="54" spans="1:22" x14ac:dyDescent="0.3">
      <c r="A54" s="11"/>
      <c r="B54" s="11"/>
      <c r="F54" s="105"/>
      <c r="G54" s="525"/>
      <c r="H54" s="477"/>
      <c r="I54" s="530"/>
      <c r="J54" s="11" t="s">
        <v>812</v>
      </c>
      <c r="K54" s="170">
        <f>N54</f>
        <v>46.8</v>
      </c>
      <c r="L54" s="164">
        <f>K54/$B$15</f>
        <v>1.2734030246284679E-2</v>
      </c>
      <c r="M54" s="415"/>
      <c r="N54" s="114">
        <v>46.8</v>
      </c>
      <c r="O54" s="115">
        <f t="shared" si="14"/>
        <v>1.2734030246284679E-2</v>
      </c>
    </row>
    <row r="55" spans="1:22" x14ac:dyDescent="0.3">
      <c r="A55" s="11"/>
      <c r="B55" s="11"/>
      <c r="F55" s="105"/>
      <c r="G55" s="525"/>
      <c r="H55" s="477"/>
      <c r="I55" s="530"/>
      <c r="J55" s="462" t="s">
        <v>97</v>
      </c>
      <c r="K55" s="481">
        <f>SUM(N55:N56)</f>
        <v>233.84</v>
      </c>
      <c r="L55" s="471">
        <f>K55/$B$15</f>
        <v>6.3626616085282264E-2</v>
      </c>
      <c r="M55" s="133" t="s">
        <v>592</v>
      </c>
      <c r="N55" s="114">
        <v>0.76</v>
      </c>
      <c r="O55" s="115">
        <f t="shared" si="14"/>
        <v>2.0679194417043498E-4</v>
      </c>
    </row>
    <row r="56" spans="1:22" x14ac:dyDescent="0.3">
      <c r="A56" s="11"/>
      <c r="B56" s="11"/>
      <c r="F56" s="105"/>
      <c r="G56" s="525"/>
      <c r="H56" s="477"/>
      <c r="I56" s="530"/>
      <c r="J56" s="462"/>
      <c r="K56" s="481"/>
      <c r="L56" s="471"/>
      <c r="M56" s="133" t="s">
        <v>813</v>
      </c>
      <c r="N56" s="114">
        <v>233.08</v>
      </c>
      <c r="O56" s="115">
        <f t="shared" si="14"/>
        <v>6.341982414111183E-2</v>
      </c>
    </row>
    <row r="57" spans="1:22" x14ac:dyDescent="0.3">
      <c r="A57" s="11"/>
      <c r="B57" s="11"/>
      <c r="F57" s="105"/>
      <c r="G57" s="525"/>
      <c r="H57" s="477"/>
      <c r="I57" s="530"/>
      <c r="J57" s="462" t="s">
        <v>757</v>
      </c>
      <c r="K57" s="481">
        <f>SUM(N57:N59)</f>
        <v>415.15715160000002</v>
      </c>
      <c r="L57" s="471">
        <f>K57/$B$15</f>
        <v>0.11296204541529475</v>
      </c>
      <c r="M57" t="s">
        <v>592</v>
      </c>
      <c r="N57" s="114">
        <f>322.61775+34.4988</f>
        <v>357.11655000000002</v>
      </c>
      <c r="O57" s="115">
        <f t="shared" si="14"/>
        <v>9.7169507460445198E-2</v>
      </c>
      <c r="P57" s="104"/>
      <c r="Q57" s="104"/>
      <c r="R57" s="151"/>
      <c r="S57" s="151"/>
      <c r="T57" s="151"/>
      <c r="U57" s="151"/>
      <c r="V57" s="151"/>
    </row>
    <row r="58" spans="1:22" x14ac:dyDescent="0.3">
      <c r="A58" s="11"/>
      <c r="B58" s="11"/>
      <c r="F58" s="105"/>
      <c r="G58" s="525"/>
      <c r="H58" s="477"/>
      <c r="I58" s="530"/>
      <c r="J58" s="462"/>
      <c r="K58" s="481"/>
      <c r="L58" s="471"/>
      <c r="M58" t="s">
        <v>814</v>
      </c>
      <c r="N58" s="114">
        <f>38.574+2.355+1.4444+0.248</f>
        <v>42.621399999999994</v>
      </c>
      <c r="O58" s="115">
        <f t="shared" si="14"/>
        <v>1.1597055485876022E-2</v>
      </c>
      <c r="P58" s="104"/>
      <c r="Q58" s="104"/>
      <c r="R58" s="151"/>
      <c r="S58" s="151"/>
      <c r="T58" s="151"/>
      <c r="U58" s="151"/>
      <c r="V58" s="151"/>
    </row>
    <row r="59" spans="1:22" ht="15" thickBot="1" x14ac:dyDescent="0.35">
      <c r="A59" s="11"/>
      <c r="B59" s="11"/>
      <c r="F59" s="105"/>
      <c r="G59" s="526"/>
      <c r="H59" s="528"/>
      <c r="I59" s="531"/>
      <c r="J59" s="495"/>
      <c r="K59" s="511"/>
      <c r="L59" s="512"/>
      <c r="M59" s="122" t="s">
        <v>749</v>
      </c>
      <c r="N59" s="123">
        <v>15.419201599999999</v>
      </c>
      <c r="O59" s="124">
        <f t="shared" si="14"/>
        <v>4.1954824689735279E-3</v>
      </c>
      <c r="S59" s="151"/>
      <c r="T59" s="151"/>
      <c r="U59" s="151"/>
      <c r="V59" s="151"/>
    </row>
    <row r="60" spans="1:22" x14ac:dyDescent="0.3">
      <c r="A60" s="11"/>
      <c r="B60" s="11"/>
      <c r="F60" s="105"/>
      <c r="Q60" s="104"/>
      <c r="R60" s="151"/>
      <c r="S60" s="151"/>
      <c r="T60" s="151"/>
      <c r="U60" s="151"/>
      <c r="V60" s="151"/>
    </row>
    <row r="61" spans="1:22" x14ac:dyDescent="0.3">
      <c r="U61" s="151"/>
      <c r="V61" s="151"/>
    </row>
    <row r="62" spans="1:22" ht="21" x14ac:dyDescent="0.3">
      <c r="G62" s="309" t="s">
        <v>765</v>
      </c>
      <c r="H62" s="308">
        <f>SUM(H51,H44,H29,H3)</f>
        <v>3675.1795257452932</v>
      </c>
      <c r="P62" s="155"/>
    </row>
    <row r="63" spans="1:22" x14ac:dyDescent="0.3">
      <c r="M63" s="105"/>
    </row>
    <row r="66" spans="7:26" outlineLevel="1" x14ac:dyDescent="0.3"/>
    <row r="67" spans="7:26" ht="24" outlineLevel="1" thickBot="1" x14ac:dyDescent="0.5">
      <c r="R67" s="464" t="s">
        <v>733</v>
      </c>
      <c r="S67" s="464"/>
      <c r="T67" s="464"/>
      <c r="U67" s="465" t="s">
        <v>734</v>
      </c>
      <c r="V67" s="465"/>
      <c r="W67" s="465"/>
      <c r="X67" s="466" t="s">
        <v>735</v>
      </c>
      <c r="Y67" s="466"/>
      <c r="Z67" s="466"/>
    </row>
    <row r="68" spans="7:26" ht="15" outlineLevel="1" thickBot="1" x14ac:dyDescent="0.35">
      <c r="G68" s="107" t="s">
        <v>815</v>
      </c>
      <c r="H68" s="103"/>
      <c r="I68" s="104"/>
      <c r="J68"/>
      <c r="K68" s="132" t="s">
        <v>816</v>
      </c>
      <c r="L68"/>
      <c r="S68" s="208" t="s">
        <v>817</v>
      </c>
      <c r="T68" s="208" t="s">
        <v>736</v>
      </c>
      <c r="V68" s="209" t="s">
        <v>817</v>
      </c>
      <c r="W68" s="209" t="s">
        <v>736</v>
      </c>
      <c r="X68" s="210"/>
      <c r="Y68" s="211" t="s">
        <v>817</v>
      </c>
      <c r="Z68" s="211" t="s">
        <v>736</v>
      </c>
    </row>
    <row r="69" spans="7:26" outlineLevel="1" x14ac:dyDescent="0.3">
      <c r="G69" s="513" t="s">
        <v>818</v>
      </c>
      <c r="H69" s="516">
        <f>SUM(K69:K75)</f>
        <v>64.595300517225823</v>
      </c>
      <c r="I69" s="496">
        <f>H69/SUM($H$69:$H$94)</f>
        <v>0.64804404939279192</v>
      </c>
      <c r="J69" s="111" t="s">
        <v>819</v>
      </c>
      <c r="K69" s="112">
        <v>0.34350145535387328</v>
      </c>
      <c r="L69" s="113">
        <f t="shared" ref="L69:L94" si="15">K69/SUM($H$69:$H$94)</f>
        <v>3.4461341973396169E-3</v>
      </c>
      <c r="N69" s="125"/>
      <c r="O69" s="126"/>
      <c r="P69" s="127" t="s">
        <v>820</v>
      </c>
      <c r="R69" s="564" t="str">
        <f>G69</f>
        <v>Résidentiel</v>
      </c>
      <c r="S69" s="548">
        <f>H69</f>
        <v>64.595300517225823</v>
      </c>
      <c r="T69" s="551">
        <f>I69</f>
        <v>0.64804404939279192</v>
      </c>
      <c r="U69" s="214"/>
      <c r="V69" s="548">
        <f>S69</f>
        <v>64.595300517225823</v>
      </c>
      <c r="W69" s="551">
        <f>T69</f>
        <v>0.64804404939279192</v>
      </c>
      <c r="X69" s="214" t="str">
        <f t="shared" ref="X69:Y71" si="16">J69</f>
        <v>Charbon</v>
      </c>
      <c r="Y69" s="230">
        <f t="shared" si="16"/>
        <v>0.34350145535387328</v>
      </c>
      <c r="Z69" s="233">
        <f>Y69/$S$94</f>
        <v>3.4461341973396169E-3</v>
      </c>
    </row>
    <row r="70" spans="7:26" outlineLevel="1" x14ac:dyDescent="0.3">
      <c r="G70" s="514"/>
      <c r="H70" s="471"/>
      <c r="I70" s="497"/>
      <c r="J70" t="s">
        <v>738</v>
      </c>
      <c r="K70" s="114">
        <v>44.070027055993059</v>
      </c>
      <c r="L70" s="115">
        <f t="shared" si="15"/>
        <v>0.44212688170093184</v>
      </c>
      <c r="N70" s="517" t="s">
        <v>821</v>
      </c>
      <c r="O70" s="128" t="s">
        <v>822</v>
      </c>
      <c r="P70" s="129">
        <v>0.9</v>
      </c>
      <c r="R70" s="565"/>
      <c r="S70" s="549"/>
      <c r="T70" s="552"/>
      <c r="V70" s="549"/>
      <c r="W70" s="552"/>
      <c r="X70" t="str">
        <f t="shared" si="16"/>
        <v>Gaz naturel</v>
      </c>
      <c r="Y70" s="223">
        <f t="shared" si="16"/>
        <v>44.070027055993059</v>
      </c>
      <c r="Z70" s="234">
        <f t="shared" ref="Z70:Z74" si="17">Y70/$S$94</f>
        <v>0.44212688170093184</v>
      </c>
    </row>
    <row r="71" spans="7:26" outlineLevel="1" x14ac:dyDescent="0.3">
      <c r="G71" s="514"/>
      <c r="H71" s="471"/>
      <c r="I71" s="497"/>
      <c r="J71" t="s">
        <v>744</v>
      </c>
      <c r="K71" s="114">
        <v>10.573103371276115</v>
      </c>
      <c r="L71" s="115">
        <f t="shared" si="15"/>
        <v>0.10607330051112858</v>
      </c>
      <c r="N71" s="518"/>
      <c r="O71" s="128" t="s">
        <v>823</v>
      </c>
      <c r="P71" s="129">
        <v>0.05</v>
      </c>
      <c r="R71" s="565"/>
      <c r="S71" s="549"/>
      <c r="T71" s="552"/>
      <c r="V71" s="549"/>
      <c r="W71" s="552"/>
      <c r="X71" t="str">
        <f t="shared" si="16"/>
        <v>Electricité</v>
      </c>
      <c r="Y71" s="223">
        <f t="shared" si="16"/>
        <v>10.573103371276115</v>
      </c>
      <c r="Z71" s="234">
        <f t="shared" si="17"/>
        <v>0.10607330051112858</v>
      </c>
    </row>
    <row r="72" spans="7:26" outlineLevel="1" x14ac:dyDescent="0.3">
      <c r="G72" s="514"/>
      <c r="H72" s="471"/>
      <c r="I72" s="497"/>
      <c r="J72" t="s">
        <v>824</v>
      </c>
      <c r="K72" s="114">
        <v>0</v>
      </c>
      <c r="L72" s="115">
        <f t="shared" si="15"/>
        <v>0</v>
      </c>
      <c r="N72" s="519"/>
      <c r="O72" s="128" t="s">
        <v>825</v>
      </c>
      <c r="P72" s="129">
        <v>0.05</v>
      </c>
      <c r="R72" s="565"/>
      <c r="S72" s="549"/>
      <c r="T72" s="552"/>
      <c r="V72" s="549"/>
      <c r="W72" s="552"/>
      <c r="X72" t="str">
        <f t="shared" ref="X72:Y74" si="18">J73</f>
        <v>Mazout</v>
      </c>
      <c r="Y72" s="223">
        <f t="shared" si="18"/>
        <v>9.0535357135384782</v>
      </c>
      <c r="Z72" s="234">
        <f t="shared" si="17"/>
        <v>9.0828433309310799E-2</v>
      </c>
    </row>
    <row r="73" spans="7:26" outlineLevel="1" x14ac:dyDescent="0.3">
      <c r="G73" s="514"/>
      <c r="H73" s="471"/>
      <c r="I73" s="497"/>
      <c r="J73" t="s">
        <v>747</v>
      </c>
      <c r="K73" s="114">
        <v>9.0535357135384782</v>
      </c>
      <c r="L73" s="115">
        <f t="shared" si="15"/>
        <v>9.0828433309310799E-2</v>
      </c>
      <c r="N73" s="517" t="s">
        <v>826</v>
      </c>
      <c r="O73" s="128" t="s">
        <v>827</v>
      </c>
      <c r="P73" s="129">
        <v>0.4</v>
      </c>
      <c r="R73" s="565"/>
      <c r="S73" s="549"/>
      <c r="T73" s="552"/>
      <c r="V73" s="549"/>
      <c r="W73" s="552"/>
      <c r="X73" t="str">
        <f t="shared" si="18"/>
        <v>Butane, propane</v>
      </c>
      <c r="Y73" s="223">
        <f t="shared" si="18"/>
        <v>0.54006337598735399</v>
      </c>
      <c r="Z73" s="234">
        <f t="shared" si="17"/>
        <v>5.418116400128137E-3</v>
      </c>
    </row>
    <row r="74" spans="7:26" ht="15" outlineLevel="1" thickBot="1" x14ac:dyDescent="0.35">
      <c r="G74" s="514"/>
      <c r="H74" s="471"/>
      <c r="I74" s="497"/>
      <c r="J74" t="s">
        <v>828</v>
      </c>
      <c r="K74" s="114">
        <v>0.54006337598735399</v>
      </c>
      <c r="L74" s="115">
        <f t="shared" si="15"/>
        <v>5.418116400128137E-3</v>
      </c>
      <c r="N74" s="518"/>
      <c r="O74" s="128" t="s">
        <v>829</v>
      </c>
      <c r="P74" s="129">
        <v>0.2</v>
      </c>
      <c r="R74" s="566"/>
      <c r="S74" s="550"/>
      <c r="T74" s="553"/>
      <c r="U74" s="215"/>
      <c r="V74" s="550"/>
      <c r="W74" s="553"/>
      <c r="X74" t="str">
        <f t="shared" si="18"/>
        <v>Bois</v>
      </c>
      <c r="Y74" s="223">
        <f t="shared" si="18"/>
        <v>1.5069545076942982E-2</v>
      </c>
      <c r="Z74" s="242">
        <f t="shared" si="17"/>
        <v>1.5118327395295707E-4</v>
      </c>
    </row>
    <row r="75" spans="7:26" ht="15" outlineLevel="1" thickBot="1" x14ac:dyDescent="0.35">
      <c r="G75" s="515"/>
      <c r="H75" s="512"/>
      <c r="I75" s="498"/>
      <c r="J75" s="122" t="s">
        <v>830</v>
      </c>
      <c r="K75" s="123">
        <v>1.5069545076942982E-2</v>
      </c>
      <c r="L75" s="124">
        <f t="shared" si="15"/>
        <v>1.5118327395295707E-4</v>
      </c>
      <c r="N75" s="518"/>
      <c r="O75" s="128" t="s">
        <v>831</v>
      </c>
      <c r="P75" s="129">
        <v>0.25</v>
      </c>
      <c r="R75" s="561" t="str">
        <f>G76</f>
        <v>Tertiaire</v>
      </c>
      <c r="S75" s="548">
        <f>H76-S87</f>
        <v>4.7725368042824714</v>
      </c>
      <c r="T75" s="551">
        <f>I76</f>
        <v>5.0989897182330927E-2</v>
      </c>
      <c r="U75" s="475" t="s">
        <v>832</v>
      </c>
      <c r="V75" s="559">
        <f>SUM(Y75:Y77)</f>
        <v>1.73</v>
      </c>
      <c r="W75" s="473">
        <f>V75/S94</f>
        <v>1.735600262670128E-2</v>
      </c>
      <c r="X75" s="214" t="s">
        <v>744</v>
      </c>
      <c r="Y75" s="230">
        <v>0.04</v>
      </c>
      <c r="Z75" s="235">
        <f>Y75/$S$94</f>
        <v>4.0129485842083887E-4</v>
      </c>
    </row>
    <row r="76" spans="7:26" outlineLevel="1" x14ac:dyDescent="0.3">
      <c r="G76" s="492" t="s">
        <v>833</v>
      </c>
      <c r="H76" s="521">
        <f>SUM(K76:K83)</f>
        <v>5.082536804282471</v>
      </c>
      <c r="I76" s="497">
        <f>H76/SUM($H$69:$H$94)</f>
        <v>5.0989897182330927E-2</v>
      </c>
      <c r="J76" s="133" t="s">
        <v>819</v>
      </c>
      <c r="K76" s="134">
        <v>0</v>
      </c>
      <c r="L76" s="115">
        <f t="shared" si="15"/>
        <v>0</v>
      </c>
      <c r="N76" s="518"/>
      <c r="O76" s="128" t="s">
        <v>834</v>
      </c>
      <c r="P76" s="129">
        <v>0.01</v>
      </c>
      <c r="R76" s="562"/>
      <c r="S76" s="549"/>
      <c r="T76" s="552"/>
      <c r="U76" s="467"/>
      <c r="V76" s="521"/>
      <c r="W76" s="471"/>
      <c r="X76" t="str">
        <f>J77</f>
        <v>Gaz naturel</v>
      </c>
      <c r="Y76" s="223">
        <v>1.39</v>
      </c>
      <c r="Z76" s="236">
        <f t="shared" ref="Z76:Z80" si="19">Y76/$S$94</f>
        <v>1.394499633012415E-2</v>
      </c>
    </row>
    <row r="77" spans="7:26" ht="15" outlineLevel="1" thickBot="1" x14ac:dyDescent="0.35">
      <c r="G77" s="492"/>
      <c r="H77" s="462"/>
      <c r="I77" s="497"/>
      <c r="J77" s="133" t="s">
        <v>738</v>
      </c>
      <c r="K77" s="134">
        <v>2.5501663098029668</v>
      </c>
      <c r="L77" s="115">
        <f t="shared" si="15"/>
        <v>2.5584215706049369E-2</v>
      </c>
      <c r="N77" s="520"/>
      <c r="O77" s="130" t="s">
        <v>835</v>
      </c>
      <c r="P77" s="131">
        <v>0.14000000000000001</v>
      </c>
      <c r="R77" s="562"/>
      <c r="S77" s="549"/>
      <c r="T77" s="552"/>
      <c r="U77" s="467"/>
      <c r="V77" s="521"/>
      <c r="W77" s="471"/>
      <c r="X77" t="s">
        <v>747</v>
      </c>
      <c r="Y77" s="223">
        <v>0.3</v>
      </c>
      <c r="Z77" s="236">
        <f t="shared" si="19"/>
        <v>3.0097114381562916E-3</v>
      </c>
    </row>
    <row r="78" spans="7:26" outlineLevel="1" x14ac:dyDescent="0.3">
      <c r="G78" s="492"/>
      <c r="H78" s="462"/>
      <c r="I78" s="497"/>
      <c r="J78" s="133" t="s">
        <v>744</v>
      </c>
      <c r="K78" s="134">
        <v>2.1456160319727897</v>
      </c>
      <c r="L78" s="115">
        <f t="shared" si="15"/>
        <v>2.1525617044400067E-2</v>
      </c>
      <c r="R78" s="562"/>
      <c r="S78" s="549"/>
      <c r="T78" s="552"/>
      <c r="U78" s="467" t="s">
        <v>836</v>
      </c>
      <c r="V78" s="521">
        <f>SUM(Y78:Y80)</f>
        <v>3.0421812507850028</v>
      </c>
      <c r="W78" s="471">
        <f>V78/S94</f>
        <v>3.0520292358107454E-2</v>
      </c>
      <c r="X78" t="s">
        <v>744</v>
      </c>
      <c r="Y78" s="223">
        <f>K78-Y75-S87</f>
        <v>1.7956160319727896</v>
      </c>
      <c r="Z78" s="236">
        <f t="shared" si="19"/>
        <v>1.8014287033217728E-2</v>
      </c>
    </row>
    <row r="79" spans="7:26" outlineLevel="1" x14ac:dyDescent="0.3">
      <c r="G79" s="492"/>
      <c r="H79" s="462"/>
      <c r="I79" s="497"/>
      <c r="J79" s="133" t="s">
        <v>824</v>
      </c>
      <c r="K79" s="134">
        <v>0</v>
      </c>
      <c r="L79" s="115">
        <f t="shared" si="15"/>
        <v>0</v>
      </c>
      <c r="R79" s="562"/>
      <c r="S79" s="549"/>
      <c r="T79" s="552"/>
      <c r="U79" s="467"/>
      <c r="V79" s="521"/>
      <c r="W79" s="471"/>
      <c r="X79" t="s">
        <v>738</v>
      </c>
      <c r="Y79" s="223">
        <f>K77-Y76</f>
        <v>1.1601663098029669</v>
      </c>
      <c r="Z79" s="236">
        <f t="shared" si="19"/>
        <v>1.1639219375925217E-2</v>
      </c>
    </row>
    <row r="80" spans="7:26" ht="15" outlineLevel="1" thickBot="1" x14ac:dyDescent="0.35">
      <c r="G80" s="492"/>
      <c r="H80" s="462"/>
      <c r="I80" s="497"/>
      <c r="J80" s="133" t="s">
        <v>747</v>
      </c>
      <c r="K80" s="134">
        <v>0</v>
      </c>
      <c r="L80" s="115">
        <f t="shared" si="15"/>
        <v>0</v>
      </c>
      <c r="R80" s="563"/>
      <c r="S80" s="567"/>
      <c r="T80" s="568"/>
      <c r="U80" s="558"/>
      <c r="V80" s="560"/>
      <c r="W80" s="488"/>
      <c r="X80" t="s">
        <v>837</v>
      </c>
      <c r="Y80" s="223">
        <f>K81-0.3</f>
        <v>8.639890900924635E-2</v>
      </c>
      <c r="Z80" s="243">
        <f t="shared" si="19"/>
        <v>8.6678594896451137E-4</v>
      </c>
    </row>
    <row r="81" spans="7:26" outlineLevel="1" x14ac:dyDescent="0.3">
      <c r="G81" s="492"/>
      <c r="H81" s="462"/>
      <c r="I81" s="497"/>
      <c r="J81" s="133" t="s">
        <v>838</v>
      </c>
      <c r="K81" s="134">
        <v>0.38639890900924634</v>
      </c>
      <c r="L81" s="115">
        <f t="shared" si="15"/>
        <v>3.8764973871208029E-3</v>
      </c>
      <c r="R81" s="569" t="str">
        <f>G84</f>
        <v>Transport routier</v>
      </c>
      <c r="S81" s="554">
        <f>H84</f>
        <v>22.33399</v>
      </c>
      <c r="T81" s="552">
        <f>I84</f>
        <v>0.22406288387556078</v>
      </c>
      <c r="U81" s="216"/>
      <c r="V81" s="554">
        <f>S81</f>
        <v>22.33399</v>
      </c>
      <c r="W81" s="556">
        <f>T81</f>
        <v>0.22406288387556078</v>
      </c>
      <c r="X81" s="217" t="str">
        <f t="shared" ref="X81:Y86" si="20">J84</f>
        <v>Voitures</v>
      </c>
      <c r="Y81" s="231">
        <f t="shared" si="20"/>
        <v>15.63383</v>
      </c>
      <c r="Z81" s="237">
        <f>Y81/$S$94</f>
        <v>0.15684438991063659</v>
      </c>
    </row>
    <row r="82" spans="7:26" outlineLevel="1" x14ac:dyDescent="0.3">
      <c r="G82" s="492"/>
      <c r="H82" s="462"/>
      <c r="I82" s="497"/>
      <c r="J82" s="133" t="s">
        <v>828</v>
      </c>
      <c r="K82" s="134">
        <v>3.5555349746828303E-4</v>
      </c>
      <c r="L82" s="115">
        <f t="shared" si="15"/>
        <v>3.5670447606892185E-6</v>
      </c>
      <c r="P82" s="156"/>
      <c r="R82" s="570"/>
      <c r="S82" s="549"/>
      <c r="T82" s="552"/>
      <c r="V82" s="549"/>
      <c r="W82" s="552"/>
      <c r="X82" s="156" t="str">
        <f t="shared" si="20"/>
        <v>Utilitaires légers</v>
      </c>
      <c r="Y82" s="223">
        <f t="shared" si="20"/>
        <v>3.7628300000000001</v>
      </c>
      <c r="Z82" s="238">
        <f t="shared" ref="Z82:Z86" si="21">Y82/$S$94</f>
        <v>3.7750108302792129E-2</v>
      </c>
    </row>
    <row r="83" spans="7:26" ht="15" outlineLevel="1" thickBot="1" x14ac:dyDescent="0.35">
      <c r="G83" s="492"/>
      <c r="H83" s="462"/>
      <c r="I83" s="497"/>
      <c r="J83" s="133" t="s">
        <v>830</v>
      </c>
      <c r="K83" s="134">
        <v>0</v>
      </c>
      <c r="L83" s="115">
        <f t="shared" si="15"/>
        <v>0</v>
      </c>
      <c r="R83" s="570"/>
      <c r="S83" s="549"/>
      <c r="T83" s="552"/>
      <c r="V83" s="549"/>
      <c r="W83" s="552"/>
      <c r="X83" s="156" t="str">
        <f t="shared" si="20"/>
        <v>Véhicules lourds</v>
      </c>
      <c r="Y83" s="223">
        <f t="shared" si="20"/>
        <v>1.3387</v>
      </c>
      <c r="Z83" s="238">
        <f t="shared" si="21"/>
        <v>1.3430335674199425E-2</v>
      </c>
    </row>
    <row r="84" spans="7:26" outlineLevel="1" x14ac:dyDescent="0.3">
      <c r="G84" s="491" t="s">
        <v>839</v>
      </c>
      <c r="H84" s="494">
        <f>SUM(K84:K89)</f>
        <v>22.33399</v>
      </c>
      <c r="I84" s="496">
        <f>H84/SUM($H$69:$H$94)</f>
        <v>0.22406288387556078</v>
      </c>
      <c r="J84" s="112" t="s">
        <v>777</v>
      </c>
      <c r="K84" s="135">
        <f>15633.83/1000</f>
        <v>15.63383</v>
      </c>
      <c r="L84" s="113">
        <f t="shared" si="15"/>
        <v>0.15684438991063659</v>
      </c>
      <c r="R84" s="570"/>
      <c r="S84" s="549"/>
      <c r="T84" s="552"/>
      <c r="V84" s="549"/>
      <c r="W84" s="552"/>
      <c r="X84" s="156" t="str">
        <f t="shared" si="20"/>
        <v>Bus et cars STIB</v>
      </c>
      <c r="Y84" s="223">
        <f t="shared" si="20"/>
        <v>0.69161000000000006</v>
      </c>
      <c r="Z84" s="238">
        <f t="shared" si="21"/>
        <v>6.9384884258109096E-3</v>
      </c>
    </row>
    <row r="85" spans="7:26" outlineLevel="1" x14ac:dyDescent="0.3">
      <c r="G85" s="492"/>
      <c r="H85" s="462"/>
      <c r="I85" s="497"/>
      <c r="J85" s="133" t="s">
        <v>840</v>
      </c>
      <c r="K85" s="114">
        <f>3762.83/1000</f>
        <v>3.7628300000000001</v>
      </c>
      <c r="L85" s="115">
        <f t="shared" si="15"/>
        <v>3.7750108302792129E-2</v>
      </c>
      <c r="R85" s="570"/>
      <c r="S85" s="549"/>
      <c r="T85" s="552"/>
      <c r="V85" s="549"/>
      <c r="W85" s="552"/>
      <c r="X85" s="156" t="str">
        <f t="shared" si="20"/>
        <v>Bus et cars hors STIB</v>
      </c>
      <c r="Y85" s="223">
        <f t="shared" si="20"/>
        <v>0.64949000000000001</v>
      </c>
      <c r="Z85" s="238">
        <f t="shared" si="21"/>
        <v>6.5159249398937663E-3</v>
      </c>
    </row>
    <row r="86" spans="7:26" ht="15" outlineLevel="1" thickBot="1" x14ac:dyDescent="0.35">
      <c r="G86" s="492"/>
      <c r="H86" s="462"/>
      <c r="I86" s="497"/>
      <c r="J86" s="133" t="s">
        <v>841</v>
      </c>
      <c r="K86" s="114">
        <f>1338.7/1000</f>
        <v>1.3387</v>
      </c>
      <c r="L86" s="115">
        <f t="shared" si="15"/>
        <v>1.3430335674199425E-2</v>
      </c>
      <c r="R86" s="571"/>
      <c r="S86" s="555"/>
      <c r="T86" s="557"/>
      <c r="U86" s="229"/>
      <c r="V86" s="555"/>
      <c r="W86" s="557"/>
      <c r="X86" s="218" t="str">
        <f t="shared" si="20"/>
        <v>2 roues motorisé</v>
      </c>
      <c r="Y86" s="232">
        <f t="shared" si="20"/>
        <v>0.25752999999999998</v>
      </c>
      <c r="Z86" s="239">
        <f t="shared" si="21"/>
        <v>2.5836366222279656E-3</v>
      </c>
    </row>
    <row r="87" spans="7:26" outlineLevel="1" x14ac:dyDescent="0.3">
      <c r="G87" s="492"/>
      <c r="H87" s="462"/>
      <c r="I87" s="497"/>
      <c r="J87" s="133" t="s">
        <v>842</v>
      </c>
      <c r="K87" s="114">
        <f>691.61/1000</f>
        <v>0.69161000000000006</v>
      </c>
      <c r="L87" s="115">
        <f t="shared" si="15"/>
        <v>6.9384884258109096E-3</v>
      </c>
      <c r="R87" s="220" t="s">
        <v>843</v>
      </c>
      <c r="S87" s="219">
        <v>0.31</v>
      </c>
      <c r="T87" s="221">
        <f>S87/S94</f>
        <v>3.1100351527615011E-3</v>
      </c>
      <c r="V87" s="223">
        <f>S87</f>
        <v>0.31</v>
      </c>
      <c r="W87" s="221">
        <f>T87</f>
        <v>3.1100351527615011E-3</v>
      </c>
      <c r="X87" s="156"/>
      <c r="Y87" s="223">
        <f>S87</f>
        <v>0.31</v>
      </c>
      <c r="Z87" s="240">
        <f>Y87/$S$94</f>
        <v>3.1100351527615011E-3</v>
      </c>
    </row>
    <row r="88" spans="7:26" outlineLevel="1" x14ac:dyDescent="0.3">
      <c r="G88" s="492"/>
      <c r="H88" s="462"/>
      <c r="I88" s="497"/>
      <c r="J88" s="133" t="s">
        <v>844</v>
      </c>
      <c r="K88" s="114">
        <f>649.49/1000</f>
        <v>0.64949000000000001</v>
      </c>
      <c r="L88" s="115">
        <f t="shared" si="15"/>
        <v>6.5159249398937663E-3</v>
      </c>
      <c r="R88" s="222" t="str">
        <f>G90</f>
        <v>Industrie</v>
      </c>
      <c r="S88" s="223">
        <f>H90</f>
        <v>0.98513785788670138</v>
      </c>
      <c r="T88" s="221">
        <f>I90</f>
        <v>9.8832689301413083E-3</v>
      </c>
      <c r="V88" s="223">
        <f t="shared" ref="V88:V92" si="22">S88</f>
        <v>0.98513785788670138</v>
      </c>
      <c r="W88" s="221">
        <f t="shared" ref="W88:W92" si="23">T88</f>
        <v>9.8832689301413083E-3</v>
      </c>
      <c r="Y88" s="223">
        <f>K90</f>
        <v>0.98513785788670138</v>
      </c>
      <c r="Z88" s="240">
        <f t="shared" ref="Z88:Z92" si="24">Y88/$S$94</f>
        <v>9.8832689301413083E-3</v>
      </c>
    </row>
    <row r="89" spans="7:26" ht="15" outlineLevel="1" thickBot="1" x14ac:dyDescent="0.35">
      <c r="G89" s="493"/>
      <c r="H89" s="495"/>
      <c r="I89" s="498"/>
      <c r="J89" s="136" t="s">
        <v>845</v>
      </c>
      <c r="K89" s="123">
        <f>257.53/1000</f>
        <v>0.25752999999999998</v>
      </c>
      <c r="L89" s="124">
        <f t="shared" si="15"/>
        <v>2.5836366222279656E-3</v>
      </c>
      <c r="R89" s="222" t="str">
        <f>G91</f>
        <v>Cogénerations</v>
      </c>
      <c r="S89" s="223">
        <f t="shared" ref="S89:S92" si="25">H91</f>
        <v>4.6658322375513075</v>
      </c>
      <c r="T89" s="221">
        <f t="shared" ref="T89:T92" si="26">I91</f>
        <v>4.6809362179588448E-2</v>
      </c>
      <c r="V89" s="223">
        <f t="shared" si="22"/>
        <v>4.6658322375513075</v>
      </c>
      <c r="W89" s="221">
        <f t="shared" si="23"/>
        <v>4.6809362179588448E-2</v>
      </c>
      <c r="Y89" s="223">
        <f>K91</f>
        <v>4.6658322375513075</v>
      </c>
      <c r="Z89" s="240">
        <f t="shared" si="24"/>
        <v>4.6809362179588448E-2</v>
      </c>
    </row>
    <row r="90" spans="7:26" ht="15" outlineLevel="1" thickBot="1" x14ac:dyDescent="0.35">
      <c r="G90" s="158" t="s">
        <v>846</v>
      </c>
      <c r="H90" s="137">
        <f>K90</f>
        <v>0.98513785788670138</v>
      </c>
      <c r="I90" s="161">
        <f t="shared" ref="I90:I95" si="27">H90/SUM($H$69:$H$94)</f>
        <v>9.8832689301413083E-3</v>
      </c>
      <c r="J90" s="111"/>
      <c r="K90" s="112">
        <v>0.98513785788670138</v>
      </c>
      <c r="L90" s="113">
        <f t="shared" si="15"/>
        <v>9.8832689301413083E-3</v>
      </c>
      <c r="R90" s="222" t="str">
        <f>G92</f>
        <v>Transport ferroviaire</v>
      </c>
      <c r="S90" s="223">
        <f t="shared" si="25"/>
        <v>0.80713835831726344</v>
      </c>
      <c r="T90" s="221">
        <f t="shared" si="26"/>
        <v>8.097511830673863E-3</v>
      </c>
      <c r="V90" s="223">
        <f t="shared" si="22"/>
        <v>0.80713835831726344</v>
      </c>
      <c r="W90" s="221">
        <f t="shared" si="23"/>
        <v>8.097511830673863E-3</v>
      </c>
      <c r="Y90" s="223">
        <f>K92</f>
        <v>0.80713835831726344</v>
      </c>
      <c r="Z90" s="240">
        <f t="shared" si="24"/>
        <v>8.097511830673863E-3</v>
      </c>
    </row>
    <row r="91" spans="7:26" ht="15" outlineLevel="1" thickBot="1" x14ac:dyDescent="0.35">
      <c r="G91" s="138" t="s">
        <v>847</v>
      </c>
      <c r="H91" s="139">
        <f>K91</f>
        <v>4.6658322375513075</v>
      </c>
      <c r="I91" s="140">
        <f t="shared" si="27"/>
        <v>4.6809362179588448E-2</v>
      </c>
      <c r="J91" s="141"/>
      <c r="K91" s="142">
        <v>4.6658322375513075</v>
      </c>
      <c r="L91" s="143">
        <f t="shared" si="15"/>
        <v>4.6809362179588448E-2</v>
      </c>
      <c r="R91" s="224" t="str">
        <f>G93</f>
        <v xml:space="preserve">Transport offroad </v>
      </c>
      <c r="S91" s="223">
        <f t="shared" si="25"/>
        <v>0.32199730081627387</v>
      </c>
      <c r="T91" s="221">
        <f t="shared" si="26"/>
        <v>3.2303965310739721E-3</v>
      </c>
      <c r="V91" s="223">
        <f t="shared" si="22"/>
        <v>0.32199730081627387</v>
      </c>
      <c r="W91" s="221">
        <f t="shared" si="23"/>
        <v>3.2303965310739721E-3</v>
      </c>
      <c r="Y91" s="223">
        <f>K93</f>
        <v>0.32199730081627387</v>
      </c>
      <c r="Z91" s="240">
        <f t="shared" si="24"/>
        <v>3.2303965310739721E-3</v>
      </c>
    </row>
    <row r="92" spans="7:26" ht="15" outlineLevel="1" thickBot="1" x14ac:dyDescent="0.35">
      <c r="G92" s="159" t="s">
        <v>848</v>
      </c>
      <c r="H92" s="144">
        <f>K92</f>
        <v>0.80713835831726344</v>
      </c>
      <c r="I92" s="162">
        <f t="shared" si="27"/>
        <v>8.097511830673863E-3</v>
      </c>
      <c r="J92"/>
      <c r="K92" s="114">
        <v>0.80713835831726344</v>
      </c>
      <c r="L92" s="115">
        <f t="shared" si="15"/>
        <v>8.097511830673863E-3</v>
      </c>
      <c r="N92"/>
      <c r="R92" s="225" t="str">
        <f>G94</f>
        <v>Pertes</v>
      </c>
      <c r="S92" s="226">
        <f t="shared" si="25"/>
        <v>0.88539684887000925</v>
      </c>
      <c r="T92" s="227">
        <f t="shared" si="26"/>
        <v>8.8826300778386807E-3</v>
      </c>
      <c r="U92" s="228"/>
      <c r="V92" s="226">
        <f t="shared" si="22"/>
        <v>0.88539684887000925</v>
      </c>
      <c r="W92" s="227">
        <f t="shared" si="23"/>
        <v>8.8826300778386807E-3</v>
      </c>
      <c r="X92" s="228"/>
      <c r="Y92" s="226">
        <f>K94</f>
        <v>0.88539684887000925</v>
      </c>
      <c r="Z92" s="241">
        <f t="shared" si="24"/>
        <v>8.8826300778386807E-3</v>
      </c>
    </row>
    <row r="93" spans="7:26" ht="15" outlineLevel="1" thickBot="1" x14ac:dyDescent="0.35">
      <c r="G93" s="138" t="s">
        <v>849</v>
      </c>
      <c r="H93" s="139">
        <f>K93</f>
        <v>0.32199730081627387</v>
      </c>
      <c r="I93" s="140">
        <f t="shared" si="27"/>
        <v>3.2303965310739721E-3</v>
      </c>
      <c r="J93" s="141"/>
      <c r="K93" s="142">
        <v>0.32199730081627387</v>
      </c>
      <c r="L93" s="143">
        <f t="shared" si="15"/>
        <v>3.2303965310739721E-3</v>
      </c>
      <c r="N93"/>
      <c r="P93" s="105"/>
      <c r="Q93" s="105"/>
      <c r="R93" s="105"/>
    </row>
    <row r="94" spans="7:26" ht="15" outlineLevel="1" thickBot="1" x14ac:dyDescent="0.35">
      <c r="G94" s="160" t="s">
        <v>850</v>
      </c>
      <c r="H94" s="145">
        <f>K94</f>
        <v>0.88539684887000925</v>
      </c>
      <c r="I94" s="163">
        <f t="shared" si="27"/>
        <v>8.8826300778386807E-3</v>
      </c>
      <c r="J94" s="122"/>
      <c r="K94" s="123">
        <v>0.88539684887000925</v>
      </c>
      <c r="L94" s="124">
        <f t="shared" si="15"/>
        <v>8.8826300778386807E-3</v>
      </c>
      <c r="N94"/>
      <c r="P94" s="105"/>
      <c r="Q94" s="105"/>
      <c r="R94" s="105" t="s">
        <v>851</v>
      </c>
      <c r="S94" s="156">
        <f>SUM(S69:S92)</f>
        <v>99.677329924949859</v>
      </c>
    </row>
    <row r="95" spans="7:26" outlineLevel="1" x14ac:dyDescent="0.3">
      <c r="H95" s="212">
        <f>SUM(H69:H94)</f>
        <v>99.677329924949859</v>
      </c>
      <c r="I95" s="11">
        <f t="shared" si="27"/>
        <v>1</v>
      </c>
      <c r="M95" s="150"/>
      <c r="N95"/>
      <c r="P95" s="105"/>
      <c r="Q95" s="105"/>
      <c r="R95" s="105"/>
      <c r="S95" s="156"/>
    </row>
    <row r="96" spans="7:26" outlineLevel="1" x14ac:dyDescent="0.3">
      <c r="N96"/>
      <c r="P96" s="105"/>
      <c r="Q96" s="105"/>
      <c r="R96" s="105"/>
      <c r="S96" s="156"/>
    </row>
  </sheetData>
  <mergeCells count="120">
    <mergeCell ref="X67:Z67"/>
    <mergeCell ref="V69:V74"/>
    <mergeCell ref="W69:W74"/>
    <mergeCell ref="V81:V86"/>
    <mergeCell ref="W81:W86"/>
    <mergeCell ref="R67:T67"/>
    <mergeCell ref="U67:W67"/>
    <mergeCell ref="U75:U77"/>
    <mergeCell ref="U78:U80"/>
    <mergeCell ref="V75:V77"/>
    <mergeCell ref="V78:V80"/>
    <mergeCell ref="W75:W77"/>
    <mergeCell ref="W78:W80"/>
    <mergeCell ref="T81:T86"/>
    <mergeCell ref="R75:R80"/>
    <mergeCell ref="R69:R74"/>
    <mergeCell ref="S69:S74"/>
    <mergeCell ref="S75:S80"/>
    <mergeCell ref="T69:T74"/>
    <mergeCell ref="T75:T80"/>
    <mergeCell ref="R81:R86"/>
    <mergeCell ref="S81:S86"/>
    <mergeCell ref="G3:G28"/>
    <mergeCell ref="H3:H28"/>
    <mergeCell ref="I3:I28"/>
    <mergeCell ref="J3:J6"/>
    <mergeCell ref="K3:K6"/>
    <mergeCell ref="J15:J18"/>
    <mergeCell ref="K15:K18"/>
    <mergeCell ref="L15:L18"/>
    <mergeCell ref="J23:J28"/>
    <mergeCell ref="K23:K28"/>
    <mergeCell ref="L23:L28"/>
    <mergeCell ref="J19:J21"/>
    <mergeCell ref="K19:K21"/>
    <mergeCell ref="L19:L21"/>
    <mergeCell ref="J40:J43"/>
    <mergeCell ref="K40:K43"/>
    <mergeCell ref="L40:L43"/>
    <mergeCell ref="J44:J47"/>
    <mergeCell ref="K44:K47"/>
    <mergeCell ref="L3:L6"/>
    <mergeCell ref="J7:J10"/>
    <mergeCell ref="K7:K10"/>
    <mergeCell ref="L7:L10"/>
    <mergeCell ref="J11:J14"/>
    <mergeCell ref="K11:K14"/>
    <mergeCell ref="L11:L14"/>
    <mergeCell ref="K55:K56"/>
    <mergeCell ref="L55:L56"/>
    <mergeCell ref="I76:I83"/>
    <mergeCell ref="G51:G59"/>
    <mergeCell ref="H51:H59"/>
    <mergeCell ref="I51:I59"/>
    <mergeCell ref="J51:J52"/>
    <mergeCell ref="J57:J59"/>
    <mergeCell ref="G29:G43"/>
    <mergeCell ref="H29:H43"/>
    <mergeCell ref="I29:I43"/>
    <mergeCell ref="J29:J35"/>
    <mergeCell ref="G44:G50"/>
    <mergeCell ref="H44:H50"/>
    <mergeCell ref="I44:I50"/>
    <mergeCell ref="K29:K35"/>
    <mergeCell ref="L29:L35"/>
    <mergeCell ref="L44:L47"/>
    <mergeCell ref="J48:J50"/>
    <mergeCell ref="K48:K50"/>
    <mergeCell ref="L48:L50"/>
    <mergeCell ref="J36:J39"/>
    <mergeCell ref="K36:K39"/>
    <mergeCell ref="L36:L39"/>
    <mergeCell ref="S19:S26"/>
    <mergeCell ref="T3:T7"/>
    <mergeCell ref="T8:T13"/>
    <mergeCell ref="T14:T18"/>
    <mergeCell ref="T19:T26"/>
    <mergeCell ref="G84:G89"/>
    <mergeCell ref="H84:H89"/>
    <mergeCell ref="I84:I89"/>
    <mergeCell ref="R3:R7"/>
    <mergeCell ref="R8:R13"/>
    <mergeCell ref="R14:R18"/>
    <mergeCell ref="R19:R26"/>
    <mergeCell ref="K57:K59"/>
    <mergeCell ref="L57:L59"/>
    <mergeCell ref="G69:G75"/>
    <mergeCell ref="H69:H75"/>
    <mergeCell ref="I69:I75"/>
    <mergeCell ref="N70:N72"/>
    <mergeCell ref="N73:N77"/>
    <mergeCell ref="G76:G83"/>
    <mergeCell ref="H76:H83"/>
    <mergeCell ref="K51:K52"/>
    <mergeCell ref="L51:L52"/>
    <mergeCell ref="J55:J56"/>
    <mergeCell ref="G1:I1"/>
    <mergeCell ref="J1:L1"/>
    <mergeCell ref="M1:O1"/>
    <mergeCell ref="R1:T1"/>
    <mergeCell ref="U1:W1"/>
    <mergeCell ref="X1:Z1"/>
    <mergeCell ref="U24:U26"/>
    <mergeCell ref="V24:V26"/>
    <mergeCell ref="W24:W26"/>
    <mergeCell ref="W22:W23"/>
    <mergeCell ref="W3:W5"/>
    <mergeCell ref="W9:W12"/>
    <mergeCell ref="W14:W17"/>
    <mergeCell ref="U9:U12"/>
    <mergeCell ref="U3:U5"/>
    <mergeCell ref="V3:V5"/>
    <mergeCell ref="V9:V12"/>
    <mergeCell ref="V14:V17"/>
    <mergeCell ref="U14:U17"/>
    <mergeCell ref="V22:V23"/>
    <mergeCell ref="U22:U23"/>
    <mergeCell ref="S3:S7"/>
    <mergeCell ref="S8:S13"/>
    <mergeCell ref="S14:S18"/>
  </mergeCells>
  <conditionalFormatting sqref="C3:C13">
    <cfRule type="dataBar" priority="24">
      <dataBar>
        <cfvo type="min"/>
        <cfvo type="max"/>
        <color rgb="FF638EC6"/>
      </dataBar>
      <extLst>
        <ext xmlns:x14="http://schemas.microsoft.com/office/spreadsheetml/2009/9/main" uri="{B025F937-C7B1-47D3-B67F-A62EFF666E3E}">
          <x14:id>{6F8CF0FE-A135-4969-A8AE-FC4E556926E4}</x14:id>
        </ext>
      </extLst>
    </cfRule>
  </conditionalFormatting>
  <conditionalFormatting sqref="C3:C15">
    <cfRule type="dataBar" priority="22">
      <dataBar>
        <cfvo type="min"/>
        <cfvo type="max"/>
        <color theme="7" tint="0.59999389629810485"/>
      </dataBar>
      <extLst>
        <ext xmlns:x14="http://schemas.microsoft.com/office/spreadsheetml/2009/9/main" uri="{B025F937-C7B1-47D3-B67F-A62EFF666E3E}">
          <x14:id>{1A6CCC52-04A0-472F-8621-1183656F9578}</x14:id>
        </ext>
      </extLst>
    </cfRule>
  </conditionalFormatting>
  <conditionalFormatting sqref="C14:C15">
    <cfRule type="dataBar" priority="23">
      <dataBar>
        <cfvo type="min"/>
        <cfvo type="max"/>
        <color rgb="FF638EC6"/>
      </dataBar>
      <extLst>
        <ext xmlns:x14="http://schemas.microsoft.com/office/spreadsheetml/2009/9/main" uri="{B025F937-C7B1-47D3-B67F-A62EFF666E3E}">
          <x14:id>{72C5ECCC-0B2C-4CB1-AC6D-C5338D150899}</x14:id>
        </ext>
      </extLst>
    </cfRule>
  </conditionalFormatting>
  <conditionalFormatting sqref="C19:C21">
    <cfRule type="dataBar" priority="20">
      <dataBar>
        <cfvo type="min"/>
        <cfvo type="max"/>
        <color theme="7" tint="0.59999389629810485"/>
      </dataBar>
      <extLst>
        <ext xmlns:x14="http://schemas.microsoft.com/office/spreadsheetml/2009/9/main" uri="{B025F937-C7B1-47D3-B67F-A62EFF666E3E}">
          <x14:id>{7A60C68E-E167-4B92-B5C8-251CAE4B75F3}</x14:id>
        </ext>
      </extLst>
    </cfRule>
    <cfRule type="dataBar" priority="21">
      <dataBar>
        <cfvo type="min"/>
        <cfvo type="max"/>
        <color rgb="FF638EC6"/>
      </dataBar>
      <extLst>
        <ext xmlns:x14="http://schemas.microsoft.com/office/spreadsheetml/2009/9/main" uri="{B025F937-C7B1-47D3-B67F-A62EFF666E3E}">
          <x14:id>{4535CBA4-8CBB-4E87-9573-AB57312FD0CA}</x14:id>
        </ext>
      </extLst>
    </cfRule>
  </conditionalFormatting>
  <conditionalFormatting sqref="C22">
    <cfRule type="dataBar" priority="18">
      <dataBar>
        <cfvo type="min"/>
        <cfvo type="max"/>
        <color theme="7" tint="0.59999389629810485"/>
      </dataBar>
      <extLst>
        <ext xmlns:x14="http://schemas.microsoft.com/office/spreadsheetml/2009/9/main" uri="{B025F937-C7B1-47D3-B67F-A62EFF666E3E}">
          <x14:id>{A7E0B9C8-ABAB-4E0B-90A2-F10ED66292AB}</x14:id>
        </ext>
      </extLst>
    </cfRule>
    <cfRule type="dataBar" priority="19">
      <dataBar>
        <cfvo type="min"/>
        <cfvo type="max"/>
        <color rgb="FF638EC6"/>
      </dataBar>
      <extLst>
        <ext xmlns:x14="http://schemas.microsoft.com/office/spreadsheetml/2009/9/main" uri="{B025F937-C7B1-47D3-B67F-A62EFF666E3E}">
          <x14:id>{9ABF4565-7F3E-4286-926D-68F3D1404DC2}</x14:id>
        </ext>
      </extLst>
    </cfRule>
  </conditionalFormatting>
  <conditionalFormatting sqref="I3 I29 I44:I59">
    <cfRule type="dataBar" priority="14">
      <dataBar>
        <cfvo type="min"/>
        <cfvo type="max"/>
        <color rgb="FF005091"/>
      </dataBar>
      <extLst>
        <ext xmlns:x14="http://schemas.microsoft.com/office/spreadsheetml/2009/9/main" uri="{B025F937-C7B1-47D3-B67F-A62EFF666E3E}">
          <x14:id>{8F071E09-60C1-4C3A-AC99-891E53D5DC8B}</x14:id>
        </ext>
      </extLst>
    </cfRule>
  </conditionalFormatting>
  <conditionalFormatting sqref="I69:I94">
    <cfRule type="dataBar" priority="12">
      <dataBar>
        <cfvo type="min"/>
        <cfvo type="max"/>
        <color theme="7"/>
      </dataBar>
      <extLst>
        <ext xmlns:x14="http://schemas.microsoft.com/office/spreadsheetml/2009/9/main" uri="{B025F937-C7B1-47D3-B67F-A62EFF666E3E}">
          <x14:id>{81F0E93A-4605-41CB-8298-3CCD31F919F0}</x14:id>
        </ext>
      </extLst>
    </cfRule>
  </conditionalFormatting>
  <conditionalFormatting sqref="L3:L59">
    <cfRule type="dataBar" priority="15">
      <dataBar>
        <cfvo type="min"/>
        <cfvo type="max"/>
        <color rgb="FF019CDB"/>
      </dataBar>
      <extLst>
        <ext xmlns:x14="http://schemas.microsoft.com/office/spreadsheetml/2009/9/main" uri="{B025F937-C7B1-47D3-B67F-A62EFF666E3E}">
          <x14:id>{9970B651-6A91-4F00-8D8A-A89B3FE131EE}</x14:id>
        </ext>
      </extLst>
    </cfRule>
    <cfRule type="dataBar" priority="17">
      <dataBar>
        <cfvo type="min"/>
        <cfvo type="max"/>
        <color rgb="FF019CDB"/>
      </dataBar>
      <extLst>
        <ext xmlns:x14="http://schemas.microsoft.com/office/spreadsheetml/2009/9/main" uri="{B025F937-C7B1-47D3-B67F-A62EFF666E3E}">
          <x14:id>{96DCCC8F-776C-4530-8EB2-5BC50F772B42}</x14:id>
        </ext>
      </extLst>
    </cfRule>
  </conditionalFormatting>
  <conditionalFormatting sqref="L69:L94">
    <cfRule type="dataBar" priority="11">
      <dataBar>
        <cfvo type="min"/>
        <cfvo type="max"/>
        <color theme="7" tint="0.39997558519241921"/>
      </dataBar>
      <extLst>
        <ext xmlns:x14="http://schemas.microsoft.com/office/spreadsheetml/2009/9/main" uri="{B025F937-C7B1-47D3-B67F-A62EFF666E3E}">
          <x14:id>{5B2A8818-B5F2-45DB-942C-8B86FBC55AA0}</x14:id>
        </ext>
      </extLst>
    </cfRule>
    <cfRule type="dataBar" priority="13">
      <dataBar>
        <cfvo type="min"/>
        <cfvo type="max"/>
        <color theme="7" tint="0.59999389629810485"/>
      </dataBar>
      <extLst>
        <ext xmlns:x14="http://schemas.microsoft.com/office/spreadsheetml/2009/9/main" uri="{B025F937-C7B1-47D3-B67F-A62EFF666E3E}">
          <x14:id>{9BBEE984-985B-4EFF-93B2-43DE953F7D6E}</x14:id>
        </ext>
      </extLst>
    </cfRule>
  </conditionalFormatting>
  <conditionalFormatting sqref="O3:O59">
    <cfRule type="dataBar" priority="16">
      <dataBar>
        <cfvo type="min"/>
        <cfvo type="max"/>
        <color rgb="FFFDC300"/>
      </dataBar>
      <extLst>
        <ext xmlns:x14="http://schemas.microsoft.com/office/spreadsheetml/2009/9/main" uri="{B025F937-C7B1-47D3-B67F-A62EFF666E3E}">
          <x14:id>{A255D86E-FC66-4935-ADCF-EA96F72A261B}</x14:id>
        </ext>
      </extLst>
    </cfRule>
  </conditionalFormatting>
  <conditionalFormatting sqref="T3:T26">
    <cfRule type="dataBar" priority="7">
      <dataBar>
        <cfvo type="min"/>
        <cfvo type="max"/>
        <color rgb="FF005091"/>
      </dataBar>
      <extLst>
        <ext xmlns:x14="http://schemas.microsoft.com/office/spreadsheetml/2009/9/main" uri="{B025F937-C7B1-47D3-B67F-A62EFF666E3E}">
          <x14:id>{D49881EE-4BA2-4521-B221-C19BC5DF34F7}</x14:id>
        </ext>
      </extLst>
    </cfRule>
    <cfRule type="dataBar" priority="10">
      <dataBar>
        <cfvo type="min"/>
        <cfvo type="max"/>
        <color rgb="FF638EC6"/>
      </dataBar>
      <extLst>
        <ext xmlns:x14="http://schemas.microsoft.com/office/spreadsheetml/2009/9/main" uri="{B025F937-C7B1-47D3-B67F-A62EFF666E3E}">
          <x14:id>{340F2336-6679-4483-9157-9AD1542A797C}</x14:id>
        </ext>
      </extLst>
    </cfRule>
  </conditionalFormatting>
  <conditionalFormatting sqref="T69 T75 T81:T92">
    <cfRule type="dataBar" priority="34">
      <dataBar>
        <cfvo type="min"/>
        <cfvo type="max"/>
        <color rgb="FF005091"/>
      </dataBar>
      <extLst>
        <ext xmlns:x14="http://schemas.microsoft.com/office/spreadsheetml/2009/9/main" uri="{B025F937-C7B1-47D3-B67F-A62EFF666E3E}">
          <x14:id>{8918887E-A899-4A23-9766-A5BC83CEE78C}</x14:id>
        </ext>
      </extLst>
    </cfRule>
  </conditionalFormatting>
  <conditionalFormatting sqref="W3:W26">
    <cfRule type="dataBar" priority="6">
      <dataBar>
        <cfvo type="min"/>
        <cfvo type="max"/>
        <color rgb="FF019CDB"/>
      </dataBar>
      <extLst>
        <ext xmlns:x14="http://schemas.microsoft.com/office/spreadsheetml/2009/9/main" uri="{B025F937-C7B1-47D3-B67F-A62EFF666E3E}">
          <x14:id>{0B8C2B21-53C4-4653-BB62-50BEC7F64AD7}</x14:id>
        </ext>
      </extLst>
    </cfRule>
    <cfRule type="dataBar" priority="9">
      <dataBar>
        <cfvo type="min"/>
        <cfvo type="max"/>
        <color rgb="FF638EC6"/>
      </dataBar>
      <extLst>
        <ext xmlns:x14="http://schemas.microsoft.com/office/spreadsheetml/2009/9/main" uri="{B025F937-C7B1-47D3-B67F-A62EFF666E3E}">
          <x14:id>{E01A3929-7072-4963-B560-87E179FAE932}</x14:id>
        </ext>
      </extLst>
    </cfRule>
  </conditionalFormatting>
  <conditionalFormatting sqref="W69 W75 W78 W81 W87:W92">
    <cfRule type="dataBar" priority="1">
      <dataBar>
        <cfvo type="min"/>
        <cfvo type="max"/>
        <color rgb="FF019CDB"/>
      </dataBar>
      <extLst>
        <ext xmlns:x14="http://schemas.microsoft.com/office/spreadsheetml/2009/9/main" uri="{B025F937-C7B1-47D3-B67F-A62EFF666E3E}">
          <x14:id>{0411692F-F466-4667-8B5C-EEBBD82AF298}</x14:id>
        </ext>
      </extLst>
    </cfRule>
  </conditionalFormatting>
  <conditionalFormatting sqref="Z3:Z26">
    <cfRule type="dataBar" priority="5">
      <dataBar>
        <cfvo type="min"/>
        <cfvo type="max"/>
        <color rgb="FFFDC300"/>
      </dataBar>
      <extLst>
        <ext xmlns:x14="http://schemas.microsoft.com/office/spreadsheetml/2009/9/main" uri="{B025F937-C7B1-47D3-B67F-A62EFF666E3E}">
          <x14:id>{43BB4406-23F7-48A2-BFE3-9486C76A2288}</x14:id>
        </ext>
      </extLst>
    </cfRule>
    <cfRule type="dataBar" priority="8">
      <dataBar>
        <cfvo type="min"/>
        <cfvo type="max"/>
        <color rgb="FF638EC6"/>
      </dataBar>
      <extLst>
        <ext xmlns:x14="http://schemas.microsoft.com/office/spreadsheetml/2009/9/main" uri="{B025F937-C7B1-47D3-B67F-A62EFF666E3E}">
          <x14:id>{B523C4C5-A7EA-44DE-95E5-BF6FDFC90673}</x14:id>
        </ext>
      </extLst>
    </cfRule>
  </conditionalFormatting>
  <conditionalFormatting sqref="Z69:Z92">
    <cfRule type="dataBar" priority="36">
      <dataBar>
        <cfvo type="min"/>
        <cfvo type="max"/>
        <color rgb="FFFDC300"/>
      </dataBar>
      <extLst>
        <ext xmlns:x14="http://schemas.microsoft.com/office/spreadsheetml/2009/9/main" uri="{B025F937-C7B1-47D3-B67F-A62EFF666E3E}">
          <x14:id>{9D644F99-26A3-4972-B89D-AC36998A6D76}</x14:id>
        </ext>
      </extLst>
    </cfRule>
  </conditionalFormatting>
  <pageMargins left="0.7" right="0.7" top="0.75" bottom="0.75" header="0.3" footer="0.3"/>
  <pageSetup orientation="portrait" horizontalDpi="360" verticalDpi="360" r:id="rId1"/>
  <extLst>
    <ext xmlns:x14="http://schemas.microsoft.com/office/spreadsheetml/2009/9/main" uri="{78C0D931-6437-407d-A8EE-F0AAD7539E65}">
      <x14:conditionalFormattings>
        <x14:conditionalFormatting xmlns:xm="http://schemas.microsoft.com/office/excel/2006/main">
          <x14:cfRule type="dataBar" id="{6F8CF0FE-A135-4969-A8AE-FC4E556926E4}">
            <x14:dataBar minLength="0" maxLength="100" gradient="0">
              <x14:cfvo type="autoMin"/>
              <x14:cfvo type="autoMax"/>
              <x14:negativeFillColor rgb="FFFF0000"/>
              <x14:axisColor rgb="FF000000"/>
            </x14:dataBar>
          </x14:cfRule>
          <xm:sqref>C3:C13</xm:sqref>
        </x14:conditionalFormatting>
        <x14:conditionalFormatting xmlns:xm="http://schemas.microsoft.com/office/excel/2006/main">
          <x14:cfRule type="dataBar" id="{1A6CCC52-04A0-472F-8621-1183656F9578}">
            <x14:dataBar minLength="0" maxLength="100" gradient="0">
              <x14:cfvo type="autoMin"/>
              <x14:cfvo type="autoMax"/>
              <x14:negativeFillColor rgb="FFFF0000"/>
              <x14:axisColor rgb="FF000000"/>
            </x14:dataBar>
          </x14:cfRule>
          <xm:sqref>C3:C15</xm:sqref>
        </x14:conditionalFormatting>
        <x14:conditionalFormatting xmlns:xm="http://schemas.microsoft.com/office/excel/2006/main">
          <x14:cfRule type="dataBar" id="{72C5ECCC-0B2C-4CB1-AC6D-C5338D150899}">
            <x14:dataBar minLength="0" maxLength="100" gradient="0">
              <x14:cfvo type="autoMin"/>
              <x14:cfvo type="autoMax"/>
              <x14:negativeFillColor rgb="FFFF0000"/>
              <x14:axisColor rgb="FF000000"/>
            </x14:dataBar>
          </x14:cfRule>
          <xm:sqref>C14:C15</xm:sqref>
        </x14:conditionalFormatting>
        <x14:conditionalFormatting xmlns:xm="http://schemas.microsoft.com/office/excel/2006/main">
          <x14:cfRule type="dataBar" id="{7A60C68E-E167-4B92-B5C8-251CAE4B75F3}">
            <x14:dataBar minLength="0" maxLength="100" gradient="0">
              <x14:cfvo type="autoMin"/>
              <x14:cfvo type="autoMax"/>
              <x14:negativeFillColor rgb="FFFF0000"/>
              <x14:axisColor rgb="FF000000"/>
            </x14:dataBar>
          </x14:cfRule>
          <x14:cfRule type="dataBar" id="{4535CBA4-8CBB-4E87-9573-AB57312FD0CA}">
            <x14:dataBar minLength="0" maxLength="100" gradient="0">
              <x14:cfvo type="autoMin"/>
              <x14:cfvo type="autoMax"/>
              <x14:negativeFillColor rgb="FFFF0000"/>
              <x14:axisColor rgb="FF000000"/>
            </x14:dataBar>
          </x14:cfRule>
          <xm:sqref>C19:C21</xm:sqref>
        </x14:conditionalFormatting>
        <x14:conditionalFormatting xmlns:xm="http://schemas.microsoft.com/office/excel/2006/main">
          <x14:cfRule type="dataBar" id="{A7E0B9C8-ABAB-4E0B-90A2-F10ED66292AB}">
            <x14:dataBar minLength="0" maxLength="100" gradient="0">
              <x14:cfvo type="autoMin"/>
              <x14:cfvo type="autoMax"/>
              <x14:negativeFillColor rgb="FFFF0000"/>
              <x14:axisColor rgb="FF000000"/>
            </x14:dataBar>
          </x14:cfRule>
          <x14:cfRule type="dataBar" id="{9ABF4565-7F3E-4286-926D-68F3D1404DC2}">
            <x14:dataBar minLength="0" maxLength="100" gradient="0">
              <x14:cfvo type="autoMin"/>
              <x14:cfvo type="autoMax"/>
              <x14:negativeFillColor rgb="FFFF0000"/>
              <x14:axisColor rgb="FF000000"/>
            </x14:dataBar>
          </x14:cfRule>
          <xm:sqref>C22</xm:sqref>
        </x14:conditionalFormatting>
        <x14:conditionalFormatting xmlns:xm="http://schemas.microsoft.com/office/excel/2006/main">
          <x14:cfRule type="dataBar" id="{8F071E09-60C1-4C3A-AC99-891E53D5DC8B}">
            <x14:dataBar minLength="0" maxLength="100" gradient="0">
              <x14:cfvo type="autoMin"/>
              <x14:cfvo type="autoMax"/>
              <x14:negativeFillColor rgb="FFFF0000"/>
              <x14:axisColor rgb="FF000000"/>
            </x14:dataBar>
          </x14:cfRule>
          <xm:sqref>I3 I29 I44:I59</xm:sqref>
        </x14:conditionalFormatting>
        <x14:conditionalFormatting xmlns:xm="http://schemas.microsoft.com/office/excel/2006/main">
          <x14:cfRule type="dataBar" id="{81F0E93A-4605-41CB-8298-3CCD31F919F0}">
            <x14:dataBar minLength="0" maxLength="100" gradient="0">
              <x14:cfvo type="autoMin"/>
              <x14:cfvo type="autoMax"/>
              <x14:negativeFillColor rgb="FFFF0000"/>
              <x14:axisColor rgb="FF000000"/>
            </x14:dataBar>
          </x14:cfRule>
          <xm:sqref>I69:I94</xm:sqref>
        </x14:conditionalFormatting>
        <x14:conditionalFormatting xmlns:xm="http://schemas.microsoft.com/office/excel/2006/main">
          <x14:cfRule type="dataBar" id="{9970B651-6A91-4F00-8D8A-A89B3FE131EE}">
            <x14:dataBar minLength="0" maxLength="100" gradient="0">
              <x14:cfvo type="autoMin"/>
              <x14:cfvo type="autoMax"/>
              <x14:negativeFillColor rgb="FFFF0000"/>
              <x14:axisColor rgb="FF000000"/>
            </x14:dataBar>
          </x14:cfRule>
          <x14:cfRule type="dataBar" id="{96DCCC8F-776C-4530-8EB2-5BC50F772B42}">
            <x14:dataBar minLength="0" maxLength="100" gradient="0">
              <x14:cfvo type="autoMin"/>
              <x14:cfvo type="autoMax"/>
              <x14:negativeFillColor rgb="FFFF0000"/>
              <x14:axisColor rgb="FF000000"/>
            </x14:dataBar>
          </x14:cfRule>
          <xm:sqref>L3:L59</xm:sqref>
        </x14:conditionalFormatting>
        <x14:conditionalFormatting xmlns:xm="http://schemas.microsoft.com/office/excel/2006/main">
          <x14:cfRule type="dataBar" id="{5B2A8818-B5F2-45DB-942C-8B86FBC55AA0}">
            <x14:dataBar minLength="0" maxLength="100" gradient="0">
              <x14:cfvo type="autoMin"/>
              <x14:cfvo type="autoMax"/>
              <x14:negativeFillColor rgb="FFFF0000"/>
              <x14:axisColor rgb="FF000000"/>
            </x14:dataBar>
          </x14:cfRule>
          <x14:cfRule type="dataBar" id="{9BBEE984-985B-4EFF-93B2-43DE953F7D6E}">
            <x14:dataBar minLength="0" maxLength="100" gradient="0">
              <x14:cfvo type="autoMin"/>
              <x14:cfvo type="autoMax"/>
              <x14:negativeFillColor rgb="FFFF0000"/>
              <x14:axisColor rgb="FF000000"/>
            </x14:dataBar>
          </x14:cfRule>
          <xm:sqref>L69:L94</xm:sqref>
        </x14:conditionalFormatting>
        <x14:conditionalFormatting xmlns:xm="http://schemas.microsoft.com/office/excel/2006/main">
          <x14:cfRule type="dataBar" id="{A255D86E-FC66-4935-ADCF-EA96F72A261B}">
            <x14:dataBar minLength="0" maxLength="100" gradient="0">
              <x14:cfvo type="autoMin"/>
              <x14:cfvo type="autoMax"/>
              <x14:negativeFillColor rgb="FFFF0000"/>
              <x14:axisColor rgb="FF000000"/>
            </x14:dataBar>
          </x14:cfRule>
          <xm:sqref>O3:O59</xm:sqref>
        </x14:conditionalFormatting>
        <x14:conditionalFormatting xmlns:xm="http://schemas.microsoft.com/office/excel/2006/main">
          <x14:cfRule type="dataBar" id="{D49881EE-4BA2-4521-B221-C19BC5DF34F7}">
            <x14:dataBar minLength="0" maxLength="100" gradient="0">
              <x14:cfvo type="autoMin"/>
              <x14:cfvo type="autoMax"/>
              <x14:negativeFillColor rgb="FFFF0000"/>
              <x14:axisColor rgb="FF000000"/>
            </x14:dataBar>
          </x14:cfRule>
          <x14:cfRule type="dataBar" id="{340F2336-6679-4483-9157-9AD1542A797C}">
            <x14:dataBar minLength="0" maxLength="100" gradient="0">
              <x14:cfvo type="autoMin"/>
              <x14:cfvo type="autoMax"/>
              <x14:negativeFillColor rgb="FFFF0000"/>
              <x14:axisColor rgb="FF000000"/>
            </x14:dataBar>
          </x14:cfRule>
          <xm:sqref>T3:T26</xm:sqref>
        </x14:conditionalFormatting>
        <x14:conditionalFormatting xmlns:xm="http://schemas.microsoft.com/office/excel/2006/main">
          <x14:cfRule type="dataBar" id="{8918887E-A899-4A23-9766-A5BC83CEE78C}">
            <x14:dataBar minLength="0" maxLength="100" gradient="0">
              <x14:cfvo type="autoMin"/>
              <x14:cfvo type="autoMax"/>
              <x14:negativeFillColor rgb="FFFF0000"/>
              <x14:axisColor rgb="FF000000"/>
            </x14:dataBar>
          </x14:cfRule>
          <xm:sqref>T69 T75 T81:T92</xm:sqref>
        </x14:conditionalFormatting>
        <x14:conditionalFormatting xmlns:xm="http://schemas.microsoft.com/office/excel/2006/main">
          <x14:cfRule type="dataBar" id="{0B8C2B21-53C4-4653-BB62-50BEC7F64AD7}">
            <x14:dataBar minLength="0" maxLength="100" gradient="0">
              <x14:cfvo type="autoMin"/>
              <x14:cfvo type="autoMax"/>
              <x14:negativeFillColor rgb="FFFF0000"/>
              <x14:axisColor rgb="FF000000"/>
            </x14:dataBar>
          </x14:cfRule>
          <x14:cfRule type="dataBar" id="{E01A3929-7072-4963-B560-87E179FAE932}">
            <x14:dataBar minLength="0" maxLength="100" gradient="0">
              <x14:cfvo type="autoMin"/>
              <x14:cfvo type="autoMax"/>
              <x14:negativeFillColor rgb="FFFF0000"/>
              <x14:axisColor rgb="FF000000"/>
            </x14:dataBar>
          </x14:cfRule>
          <xm:sqref>W3:W26</xm:sqref>
        </x14:conditionalFormatting>
        <x14:conditionalFormatting xmlns:xm="http://schemas.microsoft.com/office/excel/2006/main">
          <x14:cfRule type="dataBar" id="{0411692F-F466-4667-8B5C-EEBBD82AF298}">
            <x14:dataBar minLength="0" maxLength="100" gradient="0">
              <x14:cfvo type="autoMin"/>
              <x14:cfvo type="autoMax"/>
              <x14:negativeFillColor rgb="FFFF0000"/>
              <x14:axisColor rgb="FF000000"/>
            </x14:dataBar>
          </x14:cfRule>
          <xm:sqref>W69 W75 W78 W81 W87:W92</xm:sqref>
        </x14:conditionalFormatting>
        <x14:conditionalFormatting xmlns:xm="http://schemas.microsoft.com/office/excel/2006/main">
          <x14:cfRule type="dataBar" id="{43BB4406-23F7-48A2-BFE3-9486C76A2288}">
            <x14:dataBar minLength="0" maxLength="100" gradient="0">
              <x14:cfvo type="autoMin"/>
              <x14:cfvo type="autoMax"/>
              <x14:negativeFillColor rgb="FFFF0000"/>
              <x14:axisColor rgb="FF000000"/>
            </x14:dataBar>
          </x14:cfRule>
          <x14:cfRule type="dataBar" id="{B523C4C5-A7EA-44DE-95E5-BF6FDFC90673}">
            <x14:dataBar minLength="0" maxLength="100" gradient="0">
              <x14:cfvo type="autoMin"/>
              <x14:cfvo type="autoMax"/>
              <x14:negativeFillColor rgb="FFFF0000"/>
              <x14:axisColor rgb="FF000000"/>
            </x14:dataBar>
          </x14:cfRule>
          <xm:sqref>Z3:Z26</xm:sqref>
        </x14:conditionalFormatting>
        <x14:conditionalFormatting xmlns:xm="http://schemas.microsoft.com/office/excel/2006/main">
          <x14:cfRule type="dataBar" id="{9D644F99-26A3-4972-B89D-AC36998A6D76}">
            <x14:dataBar minLength="0" maxLength="100" gradient="0">
              <x14:cfvo type="autoMin"/>
              <x14:cfvo type="autoMax"/>
              <x14:negativeFillColor rgb="FFFF0000"/>
              <x14:axisColor rgb="FF000000"/>
            </x14:dataBar>
          </x14:cfRule>
          <xm:sqref>Z69:Z92</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C2319-C4EB-4A00-9B3C-B6F632C1CA75}">
  <sheetPr codeName="Sheet4"/>
  <dimension ref="A1:AH152"/>
  <sheetViews>
    <sheetView showGridLines="0" topLeftCell="G1" zoomScale="69" zoomScaleNormal="69" workbookViewId="0">
      <pane ySplit="1" topLeftCell="A65" activePane="bottomLeft" state="frozen"/>
      <selection activeCell="B1" sqref="B1"/>
      <selection pane="bottomLeft" activeCell="S70" sqref="S70"/>
    </sheetView>
  </sheetViews>
  <sheetFormatPr baseColWidth="10" defaultColWidth="8.88671875" defaultRowHeight="14.4" outlineLevelCol="1" x14ac:dyDescent="0.3"/>
  <cols>
    <col min="1" max="1" width="7.88671875" hidden="1" customWidth="1"/>
    <col min="2" max="2" width="17.88671875" style="169" customWidth="1"/>
    <col min="3" max="3" width="17.88671875" customWidth="1"/>
    <col min="4" max="4" width="17.88671875" style="244" customWidth="1"/>
    <col min="5" max="5" width="22.5546875" style="245" customWidth="1"/>
    <col min="6" max="6" width="12.109375" hidden="1" customWidth="1"/>
    <col min="7" max="7" width="87.5546875" style="15" customWidth="1"/>
    <col min="8" max="8" width="11.5546875" hidden="1" customWidth="1"/>
    <col min="9" max="9" width="22.88671875" customWidth="1"/>
    <col min="10" max="10" width="21.88671875" hidden="1" customWidth="1" outlineLevel="1"/>
    <col min="11" max="11" width="8" hidden="1" customWidth="1" outlineLevel="1"/>
    <col min="12" max="12" width="9.5546875" hidden="1" customWidth="1" outlineLevel="1"/>
    <col min="13" max="13" width="11.109375" hidden="1" customWidth="1" outlineLevel="1"/>
    <col min="14" max="14" width="8.5546875" hidden="1" customWidth="1" outlineLevel="1"/>
    <col min="15" max="15" width="8.44140625" hidden="1" customWidth="1" outlineLevel="1"/>
    <col min="16" max="16" width="15.5546875" hidden="1" customWidth="1" outlineLevel="1"/>
    <col min="17" max="17" width="10.44140625" style="12" hidden="1" customWidth="1" outlineLevel="1"/>
    <col min="18" max="18" width="12.44140625" hidden="1" customWidth="1" outlineLevel="1"/>
    <col min="19" max="19" width="37.109375" customWidth="1" collapsed="1"/>
    <col min="20" max="20" width="12.44140625" customWidth="1"/>
    <col min="21" max="21" width="9" customWidth="1"/>
    <col min="22" max="22" width="9.5546875" customWidth="1"/>
    <col min="23" max="24" width="13.44140625" style="105" customWidth="1" outlineLevel="1"/>
    <col min="25" max="25" width="4.44140625" customWidth="1" outlineLevel="1"/>
    <col min="26" max="26" width="12.44140625" customWidth="1" outlineLevel="1"/>
    <col min="27" max="27" width="8.88671875" customWidth="1"/>
    <col min="28" max="28" width="7.5546875" hidden="1" customWidth="1"/>
    <col min="29" max="29" width="8.5546875" hidden="1" customWidth="1"/>
    <col min="30" max="31" width="6.5546875" customWidth="1"/>
    <col min="32" max="32" width="6.44140625" customWidth="1"/>
    <col min="33" max="33" width="23.109375" customWidth="1"/>
    <col min="34" max="34" width="28" customWidth="1"/>
  </cols>
  <sheetData>
    <row r="1" spans="1:34" s="306" customFormat="1" ht="36.6" customHeight="1" thickBot="1" x14ac:dyDescent="0.35">
      <c r="A1" s="306" t="s">
        <v>0</v>
      </c>
      <c r="B1" s="300" t="s">
        <v>1</v>
      </c>
      <c r="C1" s="306" t="s">
        <v>2</v>
      </c>
      <c r="D1" s="299" t="s">
        <v>3</v>
      </c>
      <c r="E1" s="299" t="s">
        <v>4</v>
      </c>
      <c r="F1" s="306" t="s">
        <v>5</v>
      </c>
      <c r="G1" s="306" t="s">
        <v>6</v>
      </c>
      <c r="H1" s="306" t="s">
        <v>7</v>
      </c>
      <c r="I1" s="306" t="s">
        <v>8</v>
      </c>
      <c r="J1" s="306" t="s">
        <v>9</v>
      </c>
      <c r="K1" s="306" t="s">
        <v>10</v>
      </c>
      <c r="L1" s="306" t="s">
        <v>11</v>
      </c>
      <c r="M1" s="306" t="s">
        <v>12</v>
      </c>
      <c r="N1" s="306" t="s">
        <v>13</v>
      </c>
      <c r="O1" s="306" t="s">
        <v>14</v>
      </c>
      <c r="P1" s="306" t="s">
        <v>15</v>
      </c>
      <c r="Q1" s="301" t="s">
        <v>16</v>
      </c>
      <c r="R1" s="306" t="s">
        <v>17</v>
      </c>
      <c r="S1" s="306" t="s">
        <v>18</v>
      </c>
      <c r="T1" s="306" t="s">
        <v>19</v>
      </c>
      <c r="U1" s="300" t="s">
        <v>20</v>
      </c>
      <c r="V1" s="306" t="s">
        <v>21</v>
      </c>
      <c r="W1" s="307" t="s">
        <v>22</v>
      </c>
      <c r="X1" s="307" t="s">
        <v>23</v>
      </c>
      <c r="Y1" s="306" t="s">
        <v>24</v>
      </c>
      <c r="Z1" s="306" t="s">
        <v>25</v>
      </c>
      <c r="AA1" s="306" t="s">
        <v>26</v>
      </c>
      <c r="AB1" s="306" t="s">
        <v>27</v>
      </c>
      <c r="AC1" s="306" t="s">
        <v>28</v>
      </c>
      <c r="AD1" s="306" t="s">
        <v>29</v>
      </c>
      <c r="AE1" s="306" t="s">
        <v>30</v>
      </c>
      <c r="AG1" s="306" t="s">
        <v>31</v>
      </c>
      <c r="AH1" s="306" t="s">
        <v>32</v>
      </c>
    </row>
    <row r="2" spans="1:34" ht="72" customHeight="1" thickTop="1" x14ac:dyDescent="0.3">
      <c r="A2" t="s">
        <v>33</v>
      </c>
      <c r="B2" s="458" t="s">
        <v>34</v>
      </c>
      <c r="C2" s="336" t="s">
        <v>35</v>
      </c>
      <c r="D2" s="455" t="s">
        <v>36</v>
      </c>
      <c r="E2" s="337" t="s">
        <v>37</v>
      </c>
      <c r="F2" s="336" t="s">
        <v>38</v>
      </c>
      <c r="G2" s="338" t="s">
        <v>39</v>
      </c>
      <c r="H2" s="339"/>
      <c r="I2" s="339" t="s">
        <v>40</v>
      </c>
      <c r="J2" s="339" t="s">
        <v>41</v>
      </c>
      <c r="K2" s="339">
        <v>1</v>
      </c>
      <c r="L2" s="339" t="s">
        <v>42</v>
      </c>
      <c r="M2" s="339" t="s">
        <v>43</v>
      </c>
      <c r="N2" s="339" t="s">
        <v>44</v>
      </c>
      <c r="O2" s="339"/>
      <c r="P2" s="339" t="s">
        <v>45</v>
      </c>
      <c r="Q2" s="339"/>
      <c r="R2" s="339"/>
      <c r="S2" s="340" t="s">
        <v>46</v>
      </c>
      <c r="T2" s="341">
        <v>1</v>
      </c>
      <c r="U2" s="342"/>
      <c r="V2" s="343"/>
      <c r="W2" s="344">
        <f>SUM(Sankey_diag!K51,Sankey_diag!K53,Sankey_diag!K54,Sankey_diag!K55)</f>
        <v>294.43</v>
      </c>
      <c r="X2" s="345" cm="1">
        <f t="array" ref="X2">IF(Y2="",W2,_xlfn.XLOOKUP(Y2,#REF!,#REF!,W2,0,-1))</f>
        <v>294.43</v>
      </c>
      <c r="Y2" s="336"/>
      <c r="Z2" s="377">
        <v>0.05</v>
      </c>
      <c r="AA2" s="374">
        <f t="shared" ref="AA2:AA4" si="0">(T2-U2)*Z2*W2</f>
        <v>14.721500000000001</v>
      </c>
      <c r="AB2" s="336">
        <f t="shared" ref="AB2:AB4" si="1">(T2-U2)*Z2*X2</f>
        <v>14.721500000000001</v>
      </c>
      <c r="AC2" s="336">
        <f t="shared" ref="AC2:AC4" si="2">X2-AB2</f>
        <v>279.70850000000002</v>
      </c>
      <c r="AD2" s="336"/>
      <c r="AE2" s="346">
        <f>AA2/Sankey_diag!$H$62</f>
        <v>4.0056546617310111E-3</v>
      </c>
      <c r="AF2" s="336"/>
      <c r="AG2" s="336"/>
      <c r="AH2" s="347"/>
    </row>
    <row r="3" spans="1:34" ht="33.6" customHeight="1" x14ac:dyDescent="0.3">
      <c r="A3" t="s">
        <v>47</v>
      </c>
      <c r="B3" s="459"/>
      <c r="C3" s="316" t="s">
        <v>35</v>
      </c>
      <c r="D3" s="456"/>
      <c r="E3" s="456" t="s">
        <v>48</v>
      </c>
      <c r="F3" s="316" t="s">
        <v>49</v>
      </c>
      <c r="G3" s="326" t="s">
        <v>50</v>
      </c>
      <c r="H3" s="330"/>
      <c r="I3" s="330" t="s">
        <v>51</v>
      </c>
      <c r="J3" s="330" t="s">
        <v>52</v>
      </c>
      <c r="K3" s="330">
        <v>1</v>
      </c>
      <c r="L3" s="330" t="s">
        <v>53</v>
      </c>
      <c r="M3" s="330" t="s">
        <v>43</v>
      </c>
      <c r="N3" s="330" t="s">
        <v>43</v>
      </c>
      <c r="O3" s="330"/>
      <c r="P3" s="330" t="s">
        <v>45</v>
      </c>
      <c r="Q3" s="330"/>
      <c r="R3" s="330"/>
      <c r="S3" s="348" t="s">
        <v>54</v>
      </c>
      <c r="T3" s="310">
        <v>1</v>
      </c>
      <c r="U3" s="332">
        <v>0</v>
      </c>
      <c r="V3" s="349"/>
      <c r="W3" s="322"/>
      <c r="X3" s="317" cm="1">
        <f t="array" ref="X3">IF(Y3="",W3,_xlfn.XLOOKUP(Y3,$Y$2:Y2,$AC$2:AC2,W3,0,-1))</f>
        <v>0</v>
      </c>
      <c r="Y3" s="316"/>
      <c r="Z3" s="316"/>
      <c r="AA3" s="375">
        <f t="shared" si="0"/>
        <v>0</v>
      </c>
      <c r="AB3" s="316">
        <f t="shared" si="1"/>
        <v>0</v>
      </c>
      <c r="AC3" s="316">
        <f t="shared" si="2"/>
        <v>0</v>
      </c>
      <c r="AD3" s="316"/>
      <c r="AE3" s="320">
        <f>AA3/Sankey_diag!$H$62</f>
        <v>0</v>
      </c>
      <c r="AF3" s="316"/>
      <c r="AG3" s="316"/>
      <c r="AH3" s="350"/>
    </row>
    <row r="4" spans="1:34" ht="60" customHeight="1" x14ac:dyDescent="0.3">
      <c r="B4" s="459"/>
      <c r="C4" s="316" t="s">
        <v>35</v>
      </c>
      <c r="D4" s="456"/>
      <c r="E4" s="456"/>
      <c r="F4" s="316" t="s">
        <v>55</v>
      </c>
      <c r="G4" s="326" t="s">
        <v>852</v>
      </c>
      <c r="H4" s="330"/>
      <c r="I4" s="330" t="s">
        <v>57</v>
      </c>
      <c r="J4" s="330" t="s">
        <v>52</v>
      </c>
      <c r="K4" s="330"/>
      <c r="L4" s="330" t="s">
        <v>42</v>
      </c>
      <c r="M4" s="330" t="s">
        <v>43</v>
      </c>
      <c r="N4" s="330" t="s">
        <v>44</v>
      </c>
      <c r="O4" s="330"/>
      <c r="P4" s="330" t="s">
        <v>45</v>
      </c>
      <c r="Q4" s="330"/>
      <c r="R4" s="330"/>
      <c r="S4" s="348" t="s">
        <v>58</v>
      </c>
      <c r="T4" s="310">
        <v>1</v>
      </c>
      <c r="U4" s="332"/>
      <c r="V4" s="349"/>
      <c r="W4" s="324"/>
      <c r="X4" s="317" cm="1">
        <f t="array" ref="X4">IF(Y4="",W4,_xlfn.XLOOKUP(Y4,$Y$2:Y3,$AC$2:AC3,W4,0,-1))</f>
        <v>0</v>
      </c>
      <c r="Y4" s="316"/>
      <c r="Z4" s="319">
        <v>0.05</v>
      </c>
      <c r="AA4" s="375">
        <f t="shared" si="0"/>
        <v>0</v>
      </c>
      <c r="AB4" s="316">
        <f t="shared" si="1"/>
        <v>0</v>
      </c>
      <c r="AC4" s="316">
        <f t="shared" si="2"/>
        <v>0</v>
      </c>
      <c r="AD4" s="316"/>
      <c r="AE4" s="320">
        <f>AA4/Sankey_diag!$H$62</f>
        <v>0</v>
      </c>
      <c r="AF4" s="316"/>
      <c r="AG4" s="316" t="s">
        <v>59</v>
      </c>
      <c r="AH4" s="350" t="s">
        <v>60</v>
      </c>
    </row>
    <row r="5" spans="1:34" ht="31.35" customHeight="1" x14ac:dyDescent="0.3">
      <c r="B5" s="459"/>
      <c r="C5" s="316" t="s">
        <v>35</v>
      </c>
      <c r="D5" s="456"/>
      <c r="E5" s="456"/>
      <c r="F5" s="316" t="s">
        <v>61</v>
      </c>
      <c r="G5" s="326" t="s">
        <v>2861</v>
      </c>
      <c r="H5" s="330"/>
      <c r="I5" s="330"/>
      <c r="J5" s="331" t="s">
        <v>41</v>
      </c>
      <c r="K5" s="331">
        <v>1</v>
      </c>
      <c r="L5" s="331"/>
      <c r="M5" s="331"/>
      <c r="N5" s="331"/>
      <c r="O5" s="331"/>
      <c r="P5" s="330"/>
      <c r="Q5" s="330"/>
      <c r="R5" s="330"/>
      <c r="S5" s="348" t="s">
        <v>63</v>
      </c>
      <c r="T5" s="311">
        <v>1</v>
      </c>
      <c r="U5" s="332"/>
      <c r="V5" s="349"/>
      <c r="W5" s="322">
        <f>Sankey_diag!K55</f>
        <v>233.84</v>
      </c>
      <c r="X5" s="317" cm="1">
        <f t="array" ref="X5">IF(Y5="",W5,_xlfn.XLOOKUP(Y5,$Y$2:Y9,$AC$2:AC9,W5,0,-1))</f>
        <v>233.84</v>
      </c>
      <c r="Y5" s="316"/>
      <c r="Z5" s="319">
        <v>0.2</v>
      </c>
      <c r="AA5" s="375">
        <f>(T5-U5)*Z5*W5</f>
        <v>46.768000000000001</v>
      </c>
      <c r="AB5" s="316">
        <f>(T5-U5)*Z5*X5</f>
        <v>46.768000000000001</v>
      </c>
      <c r="AC5" s="316">
        <f>X5-AB5</f>
        <v>187.072</v>
      </c>
      <c r="AD5" s="316"/>
      <c r="AE5" s="320">
        <f>AA5/Sankey_diag!$H$62</f>
        <v>1.2725364753580541E-2</v>
      </c>
      <c r="AF5" s="316"/>
      <c r="AG5" s="316"/>
      <c r="AH5" s="350"/>
    </row>
    <row r="6" spans="1:34" ht="28.8" x14ac:dyDescent="0.3">
      <c r="A6" t="s">
        <v>64</v>
      </c>
      <c r="B6" s="459"/>
      <c r="C6" s="316" t="s">
        <v>35</v>
      </c>
      <c r="D6" s="456"/>
      <c r="E6" s="315" t="s">
        <v>65</v>
      </c>
      <c r="F6" s="316" t="s">
        <v>66</v>
      </c>
      <c r="G6" s="326" t="s">
        <v>67</v>
      </c>
      <c r="H6" s="330"/>
      <c r="I6" s="330" t="s">
        <v>68</v>
      </c>
      <c r="J6" s="330" t="s">
        <v>41</v>
      </c>
      <c r="K6" s="330">
        <v>2</v>
      </c>
      <c r="L6" s="330" t="s">
        <v>42</v>
      </c>
      <c r="M6" s="330" t="s">
        <v>43</v>
      </c>
      <c r="N6" s="330" t="s">
        <v>44</v>
      </c>
      <c r="O6" s="330"/>
      <c r="P6" s="330" t="s">
        <v>45</v>
      </c>
      <c r="Q6" s="330"/>
      <c r="R6" s="330"/>
      <c r="S6" s="348" t="s">
        <v>69</v>
      </c>
      <c r="T6" s="311">
        <v>0.5</v>
      </c>
      <c r="U6" s="332"/>
      <c r="V6" s="349"/>
      <c r="W6" s="322"/>
      <c r="X6" s="317" cm="1">
        <f t="array" ref="X6">IF(Y6="",W6,_xlfn.XLOOKUP(Y6,$Y$2:Y4,$AC$2:AC4,W6,0,-1))</f>
        <v>0</v>
      </c>
      <c r="Y6" s="316"/>
      <c r="Z6" s="319">
        <v>1</v>
      </c>
      <c r="AA6" s="375">
        <f t="shared" ref="AA6:AA9" si="3">(T6-U6)*Z6*W6</f>
        <v>0</v>
      </c>
      <c r="AB6" s="316">
        <f t="shared" ref="AB6:AB9" si="4">(T6-U6)*Z6*X6</f>
        <v>0</v>
      </c>
      <c r="AC6" s="316">
        <f t="shared" ref="AC6:AC9" si="5">X6-AB6</f>
        <v>0</v>
      </c>
      <c r="AD6" s="316"/>
      <c r="AE6" s="320">
        <f>AA6/Sankey_diag!$H$62</f>
        <v>0</v>
      </c>
      <c r="AF6" s="316"/>
      <c r="AG6" s="316" t="s">
        <v>70</v>
      </c>
      <c r="AH6" s="350" t="s">
        <v>71</v>
      </c>
    </row>
    <row r="7" spans="1:34" ht="57.6" x14ac:dyDescent="0.3">
      <c r="A7" t="s">
        <v>72</v>
      </c>
      <c r="B7" s="459"/>
      <c r="C7" s="316" t="s">
        <v>35</v>
      </c>
      <c r="D7" s="456"/>
      <c r="E7" s="315" t="s">
        <v>73</v>
      </c>
      <c r="F7" s="316" t="s">
        <v>74</v>
      </c>
      <c r="G7" s="326" t="s">
        <v>74</v>
      </c>
      <c r="H7" s="330"/>
      <c r="I7" s="330" t="s">
        <v>75</v>
      </c>
      <c r="J7" s="330" t="s">
        <v>41</v>
      </c>
      <c r="K7" s="330">
        <v>0</v>
      </c>
      <c r="L7" s="330" t="s">
        <v>53</v>
      </c>
      <c r="M7" s="330" t="s">
        <v>44</v>
      </c>
      <c r="N7" s="330" t="s">
        <v>44</v>
      </c>
      <c r="O7" s="330"/>
      <c r="P7" s="330" t="s">
        <v>45</v>
      </c>
      <c r="Q7" s="330"/>
      <c r="R7" s="330"/>
      <c r="S7" s="348" t="s">
        <v>76</v>
      </c>
      <c r="T7" s="310">
        <v>1</v>
      </c>
      <c r="U7" s="332"/>
      <c r="V7" s="349"/>
      <c r="W7" s="322"/>
      <c r="X7" s="317" cm="1">
        <f t="array" ref="X7">IF(Y7="",W7,_xlfn.XLOOKUP(Y7,$Y$2:Y6,$AC$2:AC6,W7,0,-1))</f>
        <v>0</v>
      </c>
      <c r="Y7" s="316"/>
      <c r="Z7" s="319">
        <v>0.01</v>
      </c>
      <c r="AA7" s="375">
        <f t="shared" si="3"/>
        <v>0</v>
      </c>
      <c r="AB7" s="316">
        <f t="shared" si="4"/>
        <v>0</v>
      </c>
      <c r="AC7" s="316">
        <f t="shared" si="5"/>
        <v>0</v>
      </c>
      <c r="AD7" s="316"/>
      <c r="AE7" s="320">
        <f>AA7/Sankey_diag!$H$62</f>
        <v>0</v>
      </c>
      <c r="AF7" s="316"/>
      <c r="AG7" s="316" t="s">
        <v>77</v>
      </c>
      <c r="AH7" s="350"/>
    </row>
    <row r="8" spans="1:34" ht="28.8" x14ac:dyDescent="0.3">
      <c r="A8" t="s">
        <v>78</v>
      </c>
      <c r="B8" s="459"/>
      <c r="C8" s="316" t="s">
        <v>35</v>
      </c>
      <c r="D8" s="456"/>
      <c r="E8" s="456" t="s">
        <v>79</v>
      </c>
      <c r="F8" s="316" t="s">
        <v>80</v>
      </c>
      <c r="G8" s="326" t="s">
        <v>81</v>
      </c>
      <c r="H8" s="330"/>
      <c r="I8" s="330"/>
      <c r="J8" s="330" t="s">
        <v>41</v>
      </c>
      <c r="K8" s="330">
        <v>0</v>
      </c>
      <c r="L8" s="330" t="s">
        <v>53</v>
      </c>
      <c r="M8" s="330" t="s">
        <v>43</v>
      </c>
      <c r="N8" s="330" t="s">
        <v>44</v>
      </c>
      <c r="O8" s="330"/>
      <c r="P8" s="330" t="s">
        <v>45</v>
      </c>
      <c r="Q8" s="330"/>
      <c r="R8" s="330"/>
      <c r="S8" s="348" t="s">
        <v>82</v>
      </c>
      <c r="T8" s="311">
        <v>0.8</v>
      </c>
      <c r="U8" s="332"/>
      <c r="V8" s="349"/>
      <c r="W8" s="322">
        <f>SUM(Sankey_diag!S37,Sankey_diag!S40,Sankey_diag!S50,Sankey_diag!S51,Sankey_diag!S52)</f>
        <v>8.9401299999999981</v>
      </c>
      <c r="X8" s="317" cm="1">
        <f t="array" ref="X8">IF(Y8="",W8,_xlfn.XLOOKUP(Y8,$Y$2:Y7,$AC$2:AC7,W8,0,-1))</f>
        <v>8.9401299999999981</v>
      </c>
      <c r="Y8" s="316"/>
      <c r="Z8" s="319">
        <v>0.66</v>
      </c>
      <c r="AA8" s="375">
        <f t="shared" si="3"/>
        <v>4.7203886399999995</v>
      </c>
      <c r="AB8" s="316">
        <f t="shared" si="4"/>
        <v>4.7203886399999995</v>
      </c>
      <c r="AC8" s="316">
        <f t="shared" si="5"/>
        <v>4.2197413599999987</v>
      </c>
      <c r="AD8" s="316"/>
      <c r="AE8" s="320">
        <f>AA8/Sankey_diag!$H$62</f>
        <v>1.2843967503989476E-3</v>
      </c>
      <c r="AF8" s="316"/>
      <c r="AG8" s="316"/>
      <c r="AH8" s="350"/>
    </row>
    <row r="9" spans="1:34" ht="28.8" x14ac:dyDescent="0.3">
      <c r="A9" t="s">
        <v>83</v>
      </c>
      <c r="B9" s="459"/>
      <c r="C9" s="316" t="s">
        <v>35</v>
      </c>
      <c r="D9" s="456"/>
      <c r="E9" s="456"/>
      <c r="F9" s="316"/>
      <c r="G9" s="326" t="s">
        <v>2859</v>
      </c>
      <c r="H9" s="330"/>
      <c r="I9" s="330" t="s">
        <v>85</v>
      </c>
      <c r="J9" s="330" t="s">
        <v>41</v>
      </c>
      <c r="K9" s="330">
        <v>1</v>
      </c>
      <c r="L9" s="330" t="s">
        <v>86</v>
      </c>
      <c r="M9" s="330" t="s">
        <v>44</v>
      </c>
      <c r="N9" s="330" t="s">
        <v>44</v>
      </c>
      <c r="O9" s="330"/>
      <c r="P9" s="330" t="s">
        <v>87</v>
      </c>
      <c r="Q9" s="330"/>
      <c r="R9" s="330"/>
      <c r="S9" s="348" t="s">
        <v>88</v>
      </c>
      <c r="T9" s="310">
        <v>5</v>
      </c>
      <c r="U9" s="332"/>
      <c r="V9" s="349"/>
      <c r="W9" s="322">
        <f>SUM(Sankey_diag!S36,Sankey_diag!S37,Sankey_diag!S38,Sankey_diag!S39,Sankey_diag!S40,Sankey_diag!S41,Sankey_diag!S42,Sankey_diag!S43,Sankey_diag!S44,Sankey_diag!S46,Sankey_diag!S48,Sankey_diag!S49,Sankey_diag!S50,Sankey_diag!S51,Sankey_diag!S52)/COUNTA(Sankey_diag!S36:S52)</f>
        <v>13.522723529411765</v>
      </c>
      <c r="X9" s="317" cm="1">
        <f t="array" ref="X9">IF(Y9="",W9,_xlfn.XLOOKUP(Y9,$Y$2:Y8,$AC$2:AC8,W9,0,-1))</f>
        <v>13.522723529411765</v>
      </c>
      <c r="Y9" s="316"/>
      <c r="Z9" s="319">
        <v>0.33</v>
      </c>
      <c r="AA9" s="375">
        <f t="shared" si="3"/>
        <v>22.312493823529415</v>
      </c>
      <c r="AB9" s="316">
        <f t="shared" si="4"/>
        <v>22.312493823529415</v>
      </c>
      <c r="AC9" s="316">
        <f t="shared" si="5"/>
        <v>-8.7897702941176501</v>
      </c>
      <c r="AD9" s="316"/>
      <c r="AE9" s="320">
        <f>AA9/Sankey_diag!$H$62</f>
        <v>6.0711303127442854E-3</v>
      </c>
      <c r="AF9" s="316"/>
      <c r="AG9" s="316"/>
      <c r="AH9" s="350"/>
    </row>
    <row r="10" spans="1:34" x14ac:dyDescent="0.3">
      <c r="B10" s="459"/>
      <c r="C10" s="316" t="s">
        <v>35</v>
      </c>
      <c r="D10" s="456"/>
      <c r="E10" s="456"/>
      <c r="F10" s="316"/>
      <c r="G10" s="326" t="s">
        <v>89</v>
      </c>
      <c r="H10" s="330"/>
      <c r="I10" s="330"/>
      <c r="J10" s="330"/>
      <c r="K10" s="330"/>
      <c r="L10" s="330"/>
      <c r="M10" s="330"/>
      <c r="N10" s="330"/>
      <c r="O10" s="330"/>
      <c r="P10" s="330"/>
      <c r="Q10" s="330"/>
      <c r="R10" s="330"/>
      <c r="S10" s="348" t="s">
        <v>90</v>
      </c>
      <c r="T10" s="310">
        <v>2</v>
      </c>
      <c r="U10" s="332"/>
      <c r="V10" s="349"/>
      <c r="W10" s="322"/>
      <c r="X10" s="317"/>
      <c r="Y10" s="316"/>
      <c r="Z10" s="316"/>
      <c r="AA10" s="375"/>
      <c r="AB10" s="316"/>
      <c r="AC10" s="316"/>
      <c r="AD10" s="316"/>
      <c r="AE10" s="320"/>
      <c r="AF10" s="316"/>
      <c r="AG10" s="316"/>
      <c r="AH10" s="350"/>
    </row>
    <row r="11" spans="1:34" ht="28.8" x14ac:dyDescent="0.3">
      <c r="B11" s="459"/>
      <c r="C11" s="316" t="s">
        <v>35</v>
      </c>
      <c r="D11" s="456"/>
      <c r="E11" s="456"/>
      <c r="F11" s="316" t="s">
        <v>91</v>
      </c>
      <c r="G11" s="326" t="s">
        <v>92</v>
      </c>
      <c r="H11" s="330"/>
      <c r="I11" s="330"/>
      <c r="J11" s="330"/>
      <c r="K11" s="330"/>
      <c r="L11" s="330"/>
      <c r="M11" s="330"/>
      <c r="N11" s="330"/>
      <c r="O11" s="330"/>
      <c r="P11" s="330"/>
      <c r="Q11" s="330"/>
      <c r="R11" s="330"/>
      <c r="S11" s="348" t="s">
        <v>93</v>
      </c>
      <c r="T11" s="310">
        <v>1</v>
      </c>
      <c r="U11" s="332"/>
      <c r="V11" s="349"/>
      <c r="W11" s="322"/>
      <c r="X11" s="317"/>
      <c r="Y11" s="316"/>
      <c r="Z11" s="316"/>
      <c r="AA11" s="375"/>
      <c r="AB11" s="316"/>
      <c r="AC11" s="316"/>
      <c r="AD11" s="316"/>
      <c r="AE11" s="320"/>
      <c r="AF11" s="316"/>
      <c r="AG11" s="316"/>
      <c r="AH11" s="350"/>
    </row>
    <row r="12" spans="1:34" ht="67.349999999999994" customHeight="1" thickBot="1" x14ac:dyDescent="0.35">
      <c r="B12" s="460"/>
      <c r="C12" s="351" t="s">
        <v>35</v>
      </c>
      <c r="D12" s="457"/>
      <c r="E12" s="352" t="s">
        <v>37</v>
      </c>
      <c r="F12" s="351" t="s">
        <v>94</v>
      </c>
      <c r="G12" s="353" t="s">
        <v>853</v>
      </c>
      <c r="H12" s="354"/>
      <c r="I12" s="354"/>
      <c r="J12" s="355" t="s">
        <v>41</v>
      </c>
      <c r="K12" s="355"/>
      <c r="L12" s="355"/>
      <c r="M12" s="355"/>
      <c r="N12" s="355"/>
      <c r="O12" s="355"/>
      <c r="P12" s="354"/>
      <c r="Q12" s="354"/>
      <c r="R12" s="354"/>
      <c r="S12" s="356" t="s">
        <v>854</v>
      </c>
      <c r="T12" s="311">
        <v>1</v>
      </c>
      <c r="U12" s="358"/>
      <c r="V12" s="359"/>
      <c r="W12" s="360">
        <f>Sankey_diag!S43</f>
        <v>120.6</v>
      </c>
      <c r="X12" s="361" cm="1">
        <f t="array" ref="X12">IF(Y12="",W12,_xlfn.XLOOKUP(Y12,$Y$2:Y11,$AC$2:AC11,W12,0,-1))</f>
        <v>120.6</v>
      </c>
      <c r="Y12" s="351"/>
      <c r="Z12" s="369">
        <v>0.33</v>
      </c>
      <c r="AA12" s="376">
        <f t="shared" ref="AA12:AA25" si="6">(T12-U12)*Z12*W12</f>
        <v>39.798000000000002</v>
      </c>
      <c r="AB12" s="351">
        <f t="shared" ref="AB12:AB25" si="7">(T12-U12)*Z12*X12</f>
        <v>39.798000000000002</v>
      </c>
      <c r="AC12" s="351">
        <f t="shared" ref="AC12:AC25" si="8">X12-AB12</f>
        <v>80.801999999999992</v>
      </c>
      <c r="AD12" s="351"/>
      <c r="AE12" s="362">
        <f>AA12/Sankey_diag!$H$62</f>
        <v>1.0828858759472254E-2</v>
      </c>
      <c r="AF12" s="351"/>
      <c r="AG12" s="351" t="s">
        <v>97</v>
      </c>
      <c r="AH12" s="363"/>
    </row>
    <row r="13" spans="1:34" ht="15" thickTop="1" x14ac:dyDescent="0.3">
      <c r="A13" t="s">
        <v>98</v>
      </c>
      <c r="B13" s="458" t="s">
        <v>99</v>
      </c>
      <c r="C13" s="336"/>
      <c r="D13" s="455"/>
      <c r="E13" s="455"/>
      <c r="F13" s="336" t="s">
        <v>100</v>
      </c>
      <c r="G13" s="338" t="s">
        <v>100</v>
      </c>
      <c r="H13" s="339"/>
      <c r="I13" s="339" t="s">
        <v>101</v>
      </c>
      <c r="J13" s="339" t="s">
        <v>41</v>
      </c>
      <c r="K13" s="339">
        <v>0</v>
      </c>
      <c r="L13" s="339" t="s">
        <v>86</v>
      </c>
      <c r="M13" s="339" t="s">
        <v>43</v>
      </c>
      <c r="N13" s="339" t="s">
        <v>43</v>
      </c>
      <c r="O13" s="339"/>
      <c r="P13" s="339" t="s">
        <v>45</v>
      </c>
      <c r="Q13" s="339"/>
      <c r="R13" s="339"/>
      <c r="S13" s="340"/>
      <c r="T13" s="364"/>
      <c r="U13" s="342"/>
      <c r="V13" s="343"/>
      <c r="W13" s="344"/>
      <c r="X13" s="345" cm="1">
        <f t="array" ref="X13">IF(Y13="",W13,_xlfn.XLOOKUP(Y13,$Y$2:Y12,$AC$2:AC12,W13,0,-1))</f>
        <v>0</v>
      </c>
      <c r="Y13" s="336"/>
      <c r="Z13" s="336"/>
      <c r="AA13" s="374">
        <f t="shared" si="6"/>
        <v>0</v>
      </c>
      <c r="AB13" s="336">
        <f t="shared" si="7"/>
        <v>0</v>
      </c>
      <c r="AC13" s="336">
        <f t="shared" si="8"/>
        <v>0</v>
      </c>
      <c r="AD13" s="336"/>
      <c r="AE13" s="346">
        <f>AA13/Sankey_diag!$H$62</f>
        <v>0</v>
      </c>
      <c r="AF13" s="336"/>
      <c r="AG13" s="336"/>
      <c r="AH13" s="347"/>
    </row>
    <row r="14" spans="1:34" ht="30.75" customHeight="1" x14ac:dyDescent="0.3">
      <c r="A14" t="s">
        <v>102</v>
      </c>
      <c r="B14" s="459"/>
      <c r="C14" s="316"/>
      <c r="D14" s="456"/>
      <c r="E14" s="456"/>
      <c r="F14" s="316" t="s">
        <v>103</v>
      </c>
      <c r="G14" s="326" t="s">
        <v>104</v>
      </c>
      <c r="H14" s="330"/>
      <c r="I14" s="330" t="s">
        <v>105</v>
      </c>
      <c r="J14" s="330" t="s">
        <v>41</v>
      </c>
      <c r="K14" s="330">
        <v>3</v>
      </c>
      <c r="L14" s="330" t="s">
        <v>86</v>
      </c>
      <c r="M14" s="330" t="s">
        <v>44</v>
      </c>
      <c r="N14" s="330" t="s">
        <v>44</v>
      </c>
      <c r="O14" s="330"/>
      <c r="P14" s="330" t="s">
        <v>106</v>
      </c>
      <c r="Q14" s="330"/>
      <c r="R14" s="330"/>
      <c r="S14" s="348"/>
      <c r="T14" s="312"/>
      <c r="U14" s="332"/>
      <c r="V14" s="349"/>
      <c r="W14" s="322"/>
      <c r="X14" s="317" cm="1">
        <f t="array" ref="X14">IF(Y14="",W14,_xlfn.XLOOKUP(Y14,$Y$2:Y13,$AC$2:AC13,W14,0,-1))</f>
        <v>0</v>
      </c>
      <c r="Y14" s="316"/>
      <c r="Z14" s="316"/>
      <c r="AA14" s="375">
        <f t="shared" si="6"/>
        <v>0</v>
      </c>
      <c r="AB14" s="316">
        <f t="shared" si="7"/>
        <v>0</v>
      </c>
      <c r="AC14" s="316">
        <f t="shared" si="8"/>
        <v>0</v>
      </c>
      <c r="AD14" s="316"/>
      <c r="AE14" s="320">
        <f>AA14/Sankey_diag!$H$62</f>
        <v>0</v>
      </c>
      <c r="AF14" s="316"/>
      <c r="AG14" s="316"/>
      <c r="AH14" s="350"/>
    </row>
    <row r="15" spans="1:34" x14ac:dyDescent="0.3">
      <c r="A15" t="s">
        <v>107</v>
      </c>
      <c r="B15" s="459"/>
      <c r="C15" s="316"/>
      <c r="D15" s="456"/>
      <c r="E15" s="456"/>
      <c r="F15" s="316" t="s">
        <v>108</v>
      </c>
      <c r="G15" s="326" t="s">
        <v>109</v>
      </c>
      <c r="H15" s="330"/>
      <c r="I15" s="330" t="s">
        <v>110</v>
      </c>
      <c r="J15" s="330" t="s">
        <v>41</v>
      </c>
      <c r="K15" s="330">
        <v>1</v>
      </c>
      <c r="L15" s="330" t="s">
        <v>42</v>
      </c>
      <c r="M15" s="330" t="s">
        <v>111</v>
      </c>
      <c r="N15" s="330" t="s">
        <v>44</v>
      </c>
      <c r="O15" s="330"/>
      <c r="P15" s="330" t="s">
        <v>106</v>
      </c>
      <c r="Q15" s="330"/>
      <c r="R15" s="330"/>
      <c r="S15" s="348"/>
      <c r="T15" s="312"/>
      <c r="U15" s="332"/>
      <c r="V15" s="349"/>
      <c r="W15" s="322"/>
      <c r="X15" s="317" cm="1">
        <f t="array" ref="X15">IF(Y15="",W15,_xlfn.XLOOKUP(Y15,$Y$2:Y14,$AC$2:AC14,W15,0,-1))</f>
        <v>0</v>
      </c>
      <c r="Y15" s="316"/>
      <c r="Z15" s="316"/>
      <c r="AA15" s="375">
        <f t="shared" si="6"/>
        <v>0</v>
      </c>
      <c r="AB15" s="316">
        <f t="shared" si="7"/>
        <v>0</v>
      </c>
      <c r="AC15" s="316">
        <f t="shared" si="8"/>
        <v>0</v>
      </c>
      <c r="AD15" s="316"/>
      <c r="AE15" s="320">
        <f>AA15/Sankey_diag!$H$62</f>
        <v>0</v>
      </c>
      <c r="AF15" s="316"/>
      <c r="AG15" s="316"/>
      <c r="AH15" s="350"/>
    </row>
    <row r="16" spans="1:34" ht="28.8" x14ac:dyDescent="0.3">
      <c r="A16" t="s">
        <v>112</v>
      </c>
      <c r="B16" s="459"/>
      <c r="C16" s="316"/>
      <c r="D16" s="456"/>
      <c r="E16" s="456"/>
      <c r="F16" s="316" t="s">
        <v>113</v>
      </c>
      <c r="G16" s="326" t="s">
        <v>114</v>
      </c>
      <c r="H16" s="330"/>
      <c r="I16" s="330"/>
      <c r="J16" s="330" t="s">
        <v>41</v>
      </c>
      <c r="K16" s="330">
        <v>1</v>
      </c>
      <c r="L16" s="330" t="s">
        <v>86</v>
      </c>
      <c r="M16" s="330" t="s">
        <v>43</v>
      </c>
      <c r="N16" s="330" t="s">
        <v>43</v>
      </c>
      <c r="O16" s="330"/>
      <c r="P16" s="330" t="s">
        <v>45</v>
      </c>
      <c r="Q16" s="330"/>
      <c r="R16" s="330"/>
      <c r="S16" s="348"/>
      <c r="T16" s="312"/>
      <c r="U16" s="332"/>
      <c r="V16" s="349"/>
      <c r="W16" s="322"/>
      <c r="X16" s="317" cm="1">
        <f t="array" ref="X16">IF(Y16="",W16,_xlfn.XLOOKUP(Y16,$Y$2:Y15,$AC$2:AC15,W16,0,-1))</f>
        <v>0</v>
      </c>
      <c r="Y16" s="316"/>
      <c r="Z16" s="316"/>
      <c r="AA16" s="375">
        <f t="shared" si="6"/>
        <v>0</v>
      </c>
      <c r="AB16" s="316">
        <f t="shared" si="7"/>
        <v>0</v>
      </c>
      <c r="AC16" s="316">
        <f t="shared" si="8"/>
        <v>0</v>
      </c>
      <c r="AD16" s="316"/>
      <c r="AE16" s="320">
        <f>AA16/Sankey_diag!$H$62</f>
        <v>0</v>
      </c>
      <c r="AF16" s="316"/>
      <c r="AG16" s="316"/>
      <c r="AH16" s="350"/>
    </row>
    <row r="17" spans="1:34" x14ac:dyDescent="0.3">
      <c r="A17" t="s">
        <v>115</v>
      </c>
      <c r="B17" s="459"/>
      <c r="C17" s="316"/>
      <c r="D17" s="456"/>
      <c r="E17" s="456"/>
      <c r="F17" s="316" t="s">
        <v>116</v>
      </c>
      <c r="G17" s="326" t="s">
        <v>117</v>
      </c>
      <c r="H17" s="330"/>
      <c r="I17" s="330" t="s">
        <v>118</v>
      </c>
      <c r="J17" s="330" t="s">
        <v>41</v>
      </c>
      <c r="K17" s="330">
        <v>0</v>
      </c>
      <c r="L17" s="330" t="s">
        <v>53</v>
      </c>
      <c r="M17" s="330" t="s">
        <v>44</v>
      </c>
      <c r="N17" s="330" t="s">
        <v>44</v>
      </c>
      <c r="O17" s="330"/>
      <c r="P17" s="330" t="s">
        <v>119</v>
      </c>
      <c r="Q17" s="330"/>
      <c r="R17" s="330"/>
      <c r="S17" s="348"/>
      <c r="T17" s="312"/>
      <c r="U17" s="332"/>
      <c r="V17" s="349"/>
      <c r="W17" s="322"/>
      <c r="X17" s="317" cm="1">
        <f t="array" ref="X17">IF(Y17="",W17,_xlfn.XLOOKUP(Y17,$Y$2:Y16,$AC$2:AC16,W17,0,-1))</f>
        <v>0</v>
      </c>
      <c r="Y17" s="316"/>
      <c r="Z17" s="316"/>
      <c r="AA17" s="375">
        <f t="shared" si="6"/>
        <v>0</v>
      </c>
      <c r="AB17" s="316">
        <f t="shared" si="7"/>
        <v>0</v>
      </c>
      <c r="AC17" s="316">
        <f t="shared" si="8"/>
        <v>0</v>
      </c>
      <c r="AD17" s="316"/>
      <c r="AE17" s="320">
        <f>AA17/Sankey_diag!$H$62</f>
        <v>0</v>
      </c>
      <c r="AF17" s="316"/>
      <c r="AG17" s="316"/>
      <c r="AH17" s="350"/>
    </row>
    <row r="18" spans="1:34" x14ac:dyDescent="0.3">
      <c r="A18" t="s">
        <v>120</v>
      </c>
      <c r="B18" s="459"/>
      <c r="C18" s="316"/>
      <c r="D18" s="456"/>
      <c r="E18" s="456"/>
      <c r="F18" s="316" t="s">
        <v>121</v>
      </c>
      <c r="G18" s="326" t="s">
        <v>122</v>
      </c>
      <c r="H18" s="330"/>
      <c r="I18" s="330" t="s">
        <v>123</v>
      </c>
      <c r="J18" s="330" t="s">
        <v>41</v>
      </c>
      <c r="K18" s="330">
        <v>1</v>
      </c>
      <c r="L18" s="330" t="s">
        <v>42</v>
      </c>
      <c r="M18" s="330" t="s">
        <v>111</v>
      </c>
      <c r="N18" s="330" t="s">
        <v>44</v>
      </c>
      <c r="O18" s="330" t="s">
        <v>124</v>
      </c>
      <c r="P18" s="330" t="s">
        <v>106</v>
      </c>
      <c r="Q18" s="330"/>
      <c r="R18" s="330"/>
      <c r="S18" s="348" t="s">
        <v>125</v>
      </c>
      <c r="T18" s="312">
        <v>0.75</v>
      </c>
      <c r="U18" s="332">
        <v>0</v>
      </c>
      <c r="V18" s="349"/>
      <c r="W18" s="322">
        <f>Sankey_diag!K36+Sankey_diag!K40</f>
        <v>1416.5927241833051</v>
      </c>
      <c r="X18" s="317" cm="1">
        <f t="array" ref="X18">IF(Y18="",W18,_xlfn.XLOOKUP(Y18,$Y$2:Y17,$AC$2:AC17,W18,0,-1))</f>
        <v>1416.5927241833051</v>
      </c>
      <c r="Y18" s="316"/>
      <c r="Z18" s="319">
        <v>0.56999999999999995</v>
      </c>
      <c r="AA18" s="375">
        <f t="shared" si="6"/>
        <v>605.59338958836292</v>
      </c>
      <c r="AB18" s="316">
        <f t="shared" si="7"/>
        <v>605.59338958836292</v>
      </c>
      <c r="AC18" s="316">
        <f t="shared" si="8"/>
        <v>810.99933459494218</v>
      </c>
      <c r="AD18" s="316"/>
      <c r="AE18" s="320">
        <f>AA18/Sankey_diag!$H$62</f>
        <v>0.16477926733811843</v>
      </c>
      <c r="AF18" s="316"/>
      <c r="AG18" s="316"/>
      <c r="AH18" s="350"/>
    </row>
    <row r="19" spans="1:34" x14ac:dyDescent="0.3">
      <c r="A19" t="s">
        <v>126</v>
      </c>
      <c r="B19" s="459"/>
      <c r="C19" s="316"/>
      <c r="D19" s="456"/>
      <c r="E19" s="456"/>
      <c r="F19" s="316" t="s">
        <v>127</v>
      </c>
      <c r="G19" s="326" t="s">
        <v>128</v>
      </c>
      <c r="H19" s="330"/>
      <c r="I19" s="330" t="s">
        <v>129</v>
      </c>
      <c r="J19" s="330" t="s">
        <v>41</v>
      </c>
      <c r="K19" s="330">
        <v>1</v>
      </c>
      <c r="L19" s="330" t="s">
        <v>42</v>
      </c>
      <c r="M19" s="330" t="s">
        <v>43</v>
      </c>
      <c r="N19" s="330" t="s">
        <v>43</v>
      </c>
      <c r="O19" s="330"/>
      <c r="P19" s="330" t="s">
        <v>119</v>
      </c>
      <c r="Q19" s="330"/>
      <c r="R19" s="330"/>
      <c r="S19" s="348"/>
      <c r="T19" s="312"/>
      <c r="U19" s="332"/>
      <c r="V19" s="349"/>
      <c r="W19" s="322"/>
      <c r="X19" s="317" cm="1">
        <f t="array" ref="X19">IF(Y19="",W19,_xlfn.XLOOKUP(Y19,$Y$2:Y18,$AC$2:AC18,W19,0,-1))</f>
        <v>0</v>
      </c>
      <c r="Y19" s="316"/>
      <c r="Z19" s="316"/>
      <c r="AA19" s="375">
        <f t="shared" si="6"/>
        <v>0</v>
      </c>
      <c r="AB19" s="316">
        <f t="shared" si="7"/>
        <v>0</v>
      </c>
      <c r="AC19" s="316">
        <f t="shared" si="8"/>
        <v>0</v>
      </c>
      <c r="AD19" s="316"/>
      <c r="AE19" s="320">
        <f>AA19/Sankey_diag!$H$62</f>
        <v>0</v>
      </c>
      <c r="AF19" s="316"/>
      <c r="AG19" s="316"/>
      <c r="AH19" s="350"/>
    </row>
    <row r="20" spans="1:34" ht="28.8" x14ac:dyDescent="0.3">
      <c r="A20" t="s">
        <v>130</v>
      </c>
      <c r="B20" s="459"/>
      <c r="C20" s="316"/>
      <c r="D20" s="456"/>
      <c r="E20" s="456"/>
      <c r="F20" s="316" t="s">
        <v>131</v>
      </c>
      <c r="G20" s="326" t="s">
        <v>132</v>
      </c>
      <c r="H20" s="330"/>
      <c r="I20" s="330" t="s">
        <v>133</v>
      </c>
      <c r="J20" s="330" t="s">
        <v>41</v>
      </c>
      <c r="K20" s="330">
        <v>0</v>
      </c>
      <c r="L20" s="330" t="s">
        <v>86</v>
      </c>
      <c r="M20" s="330" t="s">
        <v>43</v>
      </c>
      <c r="N20" s="330" t="s">
        <v>43</v>
      </c>
      <c r="O20" s="330"/>
      <c r="P20" s="330" t="s">
        <v>119</v>
      </c>
      <c r="Q20" s="330"/>
      <c r="R20" s="330"/>
      <c r="S20" s="348"/>
      <c r="T20" s="312">
        <v>0.75</v>
      </c>
      <c r="U20" s="332">
        <v>0</v>
      </c>
      <c r="V20" s="349"/>
      <c r="W20" s="365">
        <v>0</v>
      </c>
      <c r="X20" s="317" cm="1">
        <f t="array" ref="X20">IF(Y20="",W20,_xlfn.XLOOKUP(Y20,$Y$2:Y19,$AC$2:AC19,W20,0,-1))</f>
        <v>0</v>
      </c>
      <c r="Y20" s="316"/>
      <c r="Z20" s="316"/>
      <c r="AA20" s="375">
        <f t="shared" si="6"/>
        <v>0</v>
      </c>
      <c r="AB20" s="316">
        <f t="shared" si="7"/>
        <v>0</v>
      </c>
      <c r="AC20" s="316">
        <f t="shared" si="8"/>
        <v>0</v>
      </c>
      <c r="AD20" s="316"/>
      <c r="AE20" s="320">
        <f>AA20/Sankey_diag!$H$62</f>
        <v>0</v>
      </c>
      <c r="AF20" s="316"/>
      <c r="AG20" s="316"/>
      <c r="AH20" s="350"/>
    </row>
    <row r="21" spans="1:34" x14ac:dyDescent="0.3">
      <c r="A21" t="s">
        <v>134</v>
      </c>
      <c r="B21" s="459"/>
      <c r="C21" s="316"/>
      <c r="D21" s="456"/>
      <c r="E21" s="456"/>
      <c r="F21" s="316" t="s">
        <v>135</v>
      </c>
      <c r="G21" s="326" t="s">
        <v>136</v>
      </c>
      <c r="H21" s="330"/>
      <c r="I21" s="330"/>
      <c r="J21" s="330" t="s">
        <v>41</v>
      </c>
      <c r="K21" s="330">
        <v>0</v>
      </c>
      <c r="L21" s="330" t="s">
        <v>86</v>
      </c>
      <c r="M21" s="330" t="s">
        <v>111</v>
      </c>
      <c r="N21" s="330" t="s">
        <v>43</v>
      </c>
      <c r="O21" s="330"/>
      <c r="P21" s="330" t="s">
        <v>106</v>
      </c>
      <c r="Q21" s="330"/>
      <c r="R21" s="330"/>
      <c r="S21" s="348"/>
      <c r="T21" s="312"/>
      <c r="U21" s="332"/>
      <c r="V21" s="349"/>
      <c r="W21" s="322"/>
      <c r="X21" s="317" cm="1">
        <f t="array" ref="X21">IF(Y21="",W21,_xlfn.XLOOKUP(Y21,$Y$2:Y20,$AC$2:AC20,W21,0,-1))</f>
        <v>0</v>
      </c>
      <c r="Y21" s="316"/>
      <c r="Z21" s="316"/>
      <c r="AA21" s="375">
        <f t="shared" si="6"/>
        <v>0</v>
      </c>
      <c r="AB21" s="316">
        <f t="shared" si="7"/>
        <v>0</v>
      </c>
      <c r="AC21" s="316">
        <f t="shared" si="8"/>
        <v>0</v>
      </c>
      <c r="AD21" s="316"/>
      <c r="AE21" s="320">
        <f>AA21/Sankey_diag!$H$62</f>
        <v>0</v>
      </c>
      <c r="AF21" s="316"/>
      <c r="AG21" s="316"/>
      <c r="AH21" s="350"/>
    </row>
    <row r="22" spans="1:34" ht="29.4" thickBot="1" x14ac:dyDescent="0.35">
      <c r="A22" t="s">
        <v>137</v>
      </c>
      <c r="B22" s="460"/>
      <c r="C22" s="351"/>
      <c r="D22" s="457"/>
      <c r="E22" s="457"/>
      <c r="F22" s="351" t="s">
        <v>138</v>
      </c>
      <c r="G22" s="353" t="s">
        <v>139</v>
      </c>
      <c r="H22" s="354"/>
      <c r="I22" s="354"/>
      <c r="J22" s="354" t="s">
        <v>140</v>
      </c>
      <c r="K22" s="354"/>
      <c r="L22" s="354"/>
      <c r="M22" s="354"/>
      <c r="N22" s="354"/>
      <c r="O22" s="354"/>
      <c r="P22" s="354"/>
      <c r="Q22" s="354"/>
      <c r="R22" s="354"/>
      <c r="S22" s="356"/>
      <c r="T22" s="366">
        <v>1</v>
      </c>
      <c r="U22" s="367">
        <v>0.5</v>
      </c>
      <c r="V22" s="359"/>
      <c r="W22" s="368">
        <f>Sankey_diag!K36+Sankey_diag!K40</f>
        <v>1416.5927241833051</v>
      </c>
      <c r="X22" s="361" cm="1">
        <f t="array" ref="X22">IF(Y22="",W22,_xlfn.XLOOKUP(Y22,$Y$2:Y21,$AC$2:AC21,W22,0,-1))</f>
        <v>1416.5927241833051</v>
      </c>
      <c r="Y22" s="351"/>
      <c r="Z22" s="369">
        <v>0.3</v>
      </c>
      <c r="AA22" s="376">
        <f t="shared" si="6"/>
        <v>212.48890862749576</v>
      </c>
      <c r="AB22" s="351">
        <f t="shared" si="7"/>
        <v>212.48890862749576</v>
      </c>
      <c r="AC22" s="351">
        <f t="shared" si="8"/>
        <v>1204.1038155558094</v>
      </c>
      <c r="AD22" s="351"/>
      <c r="AE22" s="362">
        <f>AA22/Sankey_diag!$H$62</f>
        <v>5.7817286785304706E-2</v>
      </c>
      <c r="AF22" s="351"/>
      <c r="AG22" s="351"/>
      <c r="AH22" s="363"/>
    </row>
    <row r="23" spans="1:34" ht="29.4" thickTop="1" x14ac:dyDescent="0.3">
      <c r="A23" t="s">
        <v>141</v>
      </c>
      <c r="B23" s="458" t="s">
        <v>142</v>
      </c>
      <c r="C23" s="336" t="s">
        <v>143</v>
      </c>
      <c r="D23" s="455" t="s">
        <v>855</v>
      </c>
      <c r="E23" s="455" t="s">
        <v>856</v>
      </c>
      <c r="F23" s="336" t="s">
        <v>144</v>
      </c>
      <c r="G23" s="338" t="s">
        <v>145</v>
      </c>
      <c r="H23" s="339"/>
      <c r="I23" s="339"/>
      <c r="J23" s="339" t="s">
        <v>41</v>
      </c>
      <c r="K23" s="339">
        <v>1</v>
      </c>
      <c r="L23" s="339" t="s">
        <v>53</v>
      </c>
      <c r="M23" s="339" t="s">
        <v>43</v>
      </c>
      <c r="N23" s="339" t="s">
        <v>43</v>
      </c>
      <c r="O23" s="339" t="s">
        <v>146</v>
      </c>
      <c r="P23" s="339" t="s">
        <v>45</v>
      </c>
      <c r="Q23" s="339"/>
      <c r="R23" s="339"/>
      <c r="S23" s="340" t="s">
        <v>147</v>
      </c>
      <c r="T23" s="364">
        <v>1</v>
      </c>
      <c r="U23" s="370">
        <v>0.4</v>
      </c>
      <c r="V23" s="343"/>
      <c r="W23" s="344">
        <f>Sankey_diag!N58</f>
        <v>42.621399999999994</v>
      </c>
      <c r="X23" s="345" cm="1">
        <f t="array" ref="X23">IF(Y23="",W23,_xlfn.XLOOKUP(Y23,$Y$2:Y22,$AC$2:AC22,W23,0,-1))</f>
        <v>42.621399999999994</v>
      </c>
      <c r="Y23" s="336">
        <v>13</v>
      </c>
      <c r="Z23" s="371">
        <v>0.3</v>
      </c>
      <c r="AA23" s="374">
        <f t="shared" si="6"/>
        <v>7.6718519999999986</v>
      </c>
      <c r="AB23" s="336">
        <f t="shared" si="7"/>
        <v>7.6718519999999986</v>
      </c>
      <c r="AC23" s="336">
        <f t="shared" si="8"/>
        <v>34.949547999999993</v>
      </c>
      <c r="AD23" s="336"/>
      <c r="AE23" s="346">
        <f>AA23/Sankey_diag!$H$62</f>
        <v>2.0874768011351001E-3</v>
      </c>
      <c r="AF23" s="336"/>
      <c r="AG23" s="336"/>
      <c r="AH23" s="347"/>
    </row>
    <row r="24" spans="1:34" ht="28.8" x14ac:dyDescent="0.3">
      <c r="A24" t="s">
        <v>148</v>
      </c>
      <c r="B24" s="459"/>
      <c r="C24" s="316" t="s">
        <v>143</v>
      </c>
      <c r="D24" s="456"/>
      <c r="E24" s="456"/>
      <c r="F24" s="316" t="s">
        <v>149</v>
      </c>
      <c r="G24" s="438" t="s">
        <v>149</v>
      </c>
      <c r="H24" s="330"/>
      <c r="I24" s="330" t="s">
        <v>150</v>
      </c>
      <c r="J24" s="330" t="s">
        <v>41</v>
      </c>
      <c r="K24" s="330">
        <v>1</v>
      </c>
      <c r="L24" s="330" t="s">
        <v>42</v>
      </c>
      <c r="M24" s="330" t="s">
        <v>43</v>
      </c>
      <c r="N24" s="330" t="s">
        <v>43</v>
      </c>
      <c r="O24" s="330" t="s">
        <v>151</v>
      </c>
      <c r="P24" s="330" t="s">
        <v>87</v>
      </c>
      <c r="Q24" s="330"/>
      <c r="R24" s="330"/>
      <c r="S24" s="348" t="s">
        <v>152</v>
      </c>
      <c r="T24" s="310">
        <v>4</v>
      </c>
      <c r="U24" s="332">
        <v>0</v>
      </c>
      <c r="V24" s="349"/>
      <c r="W24" s="322"/>
      <c r="X24" s="317" cm="1">
        <f t="array" ref="X24">IF(Y24="",W24,_xlfn.XLOOKUP(Y24,$Y$2:Y23,$AC$2:AC23,W24,0,-1))</f>
        <v>0</v>
      </c>
      <c r="Y24" s="316"/>
      <c r="Z24" s="316"/>
      <c r="AA24" s="375">
        <f t="shared" si="6"/>
        <v>0</v>
      </c>
      <c r="AB24" s="316">
        <f t="shared" si="7"/>
        <v>0</v>
      </c>
      <c r="AC24" s="316">
        <f t="shared" si="8"/>
        <v>0</v>
      </c>
      <c r="AD24" s="316"/>
      <c r="AE24" s="320">
        <f>AA24/Sankey_diag!$H$62</f>
        <v>0</v>
      </c>
      <c r="AF24" s="316"/>
      <c r="AG24" s="316"/>
      <c r="AH24" s="350"/>
    </row>
    <row r="25" spans="1:34" ht="33.6" customHeight="1" x14ac:dyDescent="0.3">
      <c r="A25" t="s">
        <v>153</v>
      </c>
      <c r="B25" s="459"/>
      <c r="C25" s="316" t="s">
        <v>143</v>
      </c>
      <c r="D25" s="456"/>
      <c r="E25" s="456"/>
      <c r="F25" s="316" t="s">
        <v>154</v>
      </c>
      <c r="G25" s="326" t="s">
        <v>155</v>
      </c>
      <c r="H25" s="330"/>
      <c r="I25" s="330"/>
      <c r="J25" s="330" t="s">
        <v>41</v>
      </c>
      <c r="K25" s="330">
        <v>3</v>
      </c>
      <c r="L25" s="330" t="s">
        <v>42</v>
      </c>
      <c r="M25" s="330" t="s">
        <v>44</v>
      </c>
      <c r="N25" s="330" t="s">
        <v>44</v>
      </c>
      <c r="O25" s="330" t="s">
        <v>156</v>
      </c>
      <c r="P25" s="330" t="s">
        <v>157</v>
      </c>
      <c r="Q25" s="330"/>
      <c r="R25" s="330"/>
      <c r="S25" s="348" t="s">
        <v>158</v>
      </c>
      <c r="T25" s="310"/>
      <c r="U25" s="332"/>
      <c r="V25" s="349"/>
      <c r="W25" s="322"/>
      <c r="X25" s="317" cm="1">
        <f t="array" ref="X25">IF(Y25="",W25,_xlfn.XLOOKUP(Y25,$Y$2:Y24,$AC$2:AC24,W25,0,-1))</f>
        <v>0</v>
      </c>
      <c r="Y25" s="316"/>
      <c r="Z25" s="316"/>
      <c r="AA25" s="375">
        <f t="shared" si="6"/>
        <v>0</v>
      </c>
      <c r="AB25" s="316">
        <f t="shared" si="7"/>
        <v>0</v>
      </c>
      <c r="AC25" s="316">
        <f t="shared" si="8"/>
        <v>0</v>
      </c>
      <c r="AD25" s="316"/>
      <c r="AE25" s="320">
        <f>AA25/Sankey_diag!$H$62</f>
        <v>0</v>
      </c>
      <c r="AF25" s="316"/>
      <c r="AG25" s="316"/>
      <c r="AH25" s="350"/>
    </row>
    <row r="26" spans="1:34" ht="28.8" x14ac:dyDescent="0.3">
      <c r="B26" s="459"/>
      <c r="C26" s="316" t="s">
        <v>143</v>
      </c>
      <c r="D26" s="456"/>
      <c r="E26" s="456"/>
      <c r="F26" s="316" t="s">
        <v>159</v>
      </c>
      <c r="G26" s="326" t="s">
        <v>160</v>
      </c>
      <c r="H26" s="330"/>
      <c r="I26" s="330" t="s">
        <v>161</v>
      </c>
      <c r="J26" s="330" t="s">
        <v>52</v>
      </c>
      <c r="K26" s="330"/>
      <c r="L26" s="330" t="s">
        <v>42</v>
      </c>
      <c r="M26" s="330"/>
      <c r="N26" s="330"/>
      <c r="O26" s="330"/>
      <c r="P26" s="330" t="s">
        <v>106</v>
      </c>
      <c r="Q26" s="330"/>
      <c r="R26" s="330"/>
      <c r="S26" s="348" t="s">
        <v>162</v>
      </c>
      <c r="T26" s="311">
        <v>0.9</v>
      </c>
      <c r="U26" s="332"/>
      <c r="V26" s="349"/>
      <c r="W26" s="322"/>
      <c r="X26" s="317"/>
      <c r="Y26" s="316"/>
      <c r="Z26" s="319"/>
      <c r="AA26" s="375"/>
      <c r="AB26" s="316"/>
      <c r="AC26" s="316"/>
      <c r="AD26" s="316"/>
      <c r="AE26" s="320">
        <f>AA26/Sankey_diag!$H$62</f>
        <v>0</v>
      </c>
      <c r="AF26" s="316"/>
      <c r="AG26" s="316" t="s">
        <v>163</v>
      </c>
      <c r="AH26" s="350" t="s">
        <v>164</v>
      </c>
    </row>
    <row r="27" spans="1:34" x14ac:dyDescent="0.3">
      <c r="A27" t="s">
        <v>165</v>
      </c>
      <c r="B27" s="459"/>
      <c r="C27" s="316" t="s">
        <v>143</v>
      </c>
      <c r="D27" s="456"/>
      <c r="E27" s="456"/>
      <c r="F27" s="316" t="s">
        <v>166</v>
      </c>
      <c r="G27" s="326" t="s">
        <v>167</v>
      </c>
      <c r="H27" s="330"/>
      <c r="I27" s="330" t="s">
        <v>168</v>
      </c>
      <c r="J27" s="330" t="s">
        <v>41</v>
      </c>
      <c r="K27" s="330">
        <v>1</v>
      </c>
      <c r="L27" s="330" t="s">
        <v>53</v>
      </c>
      <c r="M27" s="330" t="s">
        <v>44</v>
      </c>
      <c r="N27" s="330" t="s">
        <v>44</v>
      </c>
      <c r="O27" s="330" t="s">
        <v>169</v>
      </c>
      <c r="P27" s="330" t="s">
        <v>45</v>
      </c>
      <c r="Q27" s="330"/>
      <c r="R27" s="330"/>
      <c r="S27" s="348" t="s">
        <v>857</v>
      </c>
      <c r="T27" s="310">
        <v>2</v>
      </c>
      <c r="U27" s="332"/>
      <c r="V27" s="349"/>
      <c r="W27" s="322"/>
      <c r="X27" s="317" cm="1">
        <f t="array" ref="X27">IF(Y27="",W27,_xlfn.XLOOKUP(Y27,$Y$2:Y23,$AC$2:AC23,W27,0,-1))</f>
        <v>0</v>
      </c>
      <c r="Y27" s="316"/>
      <c r="Z27" s="316"/>
      <c r="AA27" s="375">
        <f t="shared" ref="AA27:AA28" si="9">(T27-U27)*Z27*W27</f>
        <v>0</v>
      </c>
      <c r="AB27" s="316">
        <f t="shared" ref="AB27" si="10">(T27-U27)*Z27*X27</f>
        <v>0</v>
      </c>
      <c r="AC27" s="316">
        <f t="shared" ref="AC27" si="11">X27-AB27</f>
        <v>0</v>
      </c>
      <c r="AD27" s="316"/>
      <c r="AE27" s="320">
        <f>AA27/Sankey_diag!$H$62</f>
        <v>0</v>
      </c>
      <c r="AF27" s="316"/>
      <c r="AG27" s="316"/>
      <c r="AH27" s="350"/>
    </row>
    <row r="28" spans="1:34" ht="28.8" x14ac:dyDescent="0.3">
      <c r="B28" s="459"/>
      <c r="C28" s="316" t="s">
        <v>143</v>
      </c>
      <c r="D28" s="456"/>
      <c r="E28" s="456"/>
      <c r="F28" s="316" t="s">
        <v>171</v>
      </c>
      <c r="G28" s="326" t="s">
        <v>172</v>
      </c>
      <c r="H28" s="330"/>
      <c r="I28" s="330" t="s">
        <v>858</v>
      </c>
      <c r="J28" s="330" t="s">
        <v>173</v>
      </c>
      <c r="K28" s="372">
        <v>0.75</v>
      </c>
      <c r="L28" s="372">
        <v>0.5</v>
      </c>
      <c r="M28" s="330"/>
      <c r="N28" s="373">
        <v>357.11655000000002</v>
      </c>
      <c r="O28" s="373"/>
      <c r="P28" s="330"/>
      <c r="Q28" s="372">
        <v>0.3</v>
      </c>
      <c r="R28" s="330">
        <v>26.783741250000002</v>
      </c>
      <c r="S28" s="348" t="s">
        <v>173</v>
      </c>
      <c r="T28" s="311">
        <v>0.9</v>
      </c>
      <c r="U28" s="334">
        <v>0.5</v>
      </c>
      <c r="V28" s="349"/>
      <c r="W28" s="324">
        <f>Sankey_diag!N57</f>
        <v>357.11655000000002</v>
      </c>
      <c r="X28" s="316"/>
      <c r="Y28" s="316"/>
      <c r="Z28" s="319">
        <v>0.3</v>
      </c>
      <c r="AA28" s="375">
        <f t="shared" si="9"/>
        <v>42.853985999999999</v>
      </c>
      <c r="AB28" s="316"/>
      <c r="AC28" s="316"/>
      <c r="AD28" s="316"/>
      <c r="AE28" s="320"/>
      <c r="AF28" s="316"/>
      <c r="AG28" s="316"/>
      <c r="AH28" s="350"/>
    </row>
    <row r="29" spans="1:34" x14ac:dyDescent="0.3">
      <c r="B29" s="459"/>
      <c r="C29" s="316" t="s">
        <v>143</v>
      </c>
      <c r="D29" s="456"/>
      <c r="E29" s="456"/>
      <c r="F29" s="316"/>
      <c r="G29" s="326" t="s">
        <v>174</v>
      </c>
      <c r="H29" s="330"/>
      <c r="I29" s="330"/>
      <c r="J29" s="330"/>
      <c r="K29" s="330"/>
      <c r="L29" s="330"/>
      <c r="M29" s="330"/>
      <c r="N29" s="330"/>
      <c r="O29" s="330"/>
      <c r="P29" s="330"/>
      <c r="Q29" s="330"/>
      <c r="R29" s="330"/>
      <c r="S29" s="348" t="s">
        <v>175</v>
      </c>
      <c r="T29" s="310">
        <v>1</v>
      </c>
      <c r="U29" s="332">
        <v>0</v>
      </c>
      <c r="V29" s="349"/>
      <c r="W29" s="322"/>
      <c r="X29" s="317"/>
      <c r="Y29" s="316"/>
      <c r="Z29" s="316"/>
      <c r="AA29" s="375"/>
      <c r="AB29" s="316"/>
      <c r="AC29" s="316"/>
      <c r="AD29" s="316"/>
      <c r="AE29" s="320"/>
      <c r="AF29" s="316"/>
      <c r="AG29" s="316"/>
      <c r="AH29" s="350"/>
    </row>
    <row r="30" spans="1:34" ht="39" customHeight="1" x14ac:dyDescent="0.3">
      <c r="A30" t="s">
        <v>176</v>
      </c>
      <c r="B30" s="459"/>
      <c r="C30" s="316" t="s">
        <v>143</v>
      </c>
      <c r="D30" s="456"/>
      <c r="E30" s="456" t="s">
        <v>177</v>
      </c>
      <c r="F30" s="316" t="s">
        <v>178</v>
      </c>
      <c r="G30" s="326" t="s">
        <v>859</v>
      </c>
      <c r="H30" s="330"/>
      <c r="I30" s="330"/>
      <c r="J30" s="330" t="s">
        <v>41</v>
      </c>
      <c r="K30" s="330">
        <v>1</v>
      </c>
      <c r="L30" s="330" t="s">
        <v>86</v>
      </c>
      <c r="M30" s="330" t="s">
        <v>43</v>
      </c>
      <c r="N30" s="330" t="s">
        <v>44</v>
      </c>
      <c r="O30" s="330" t="s">
        <v>169</v>
      </c>
      <c r="P30" s="330" t="s">
        <v>45</v>
      </c>
      <c r="Q30" s="330"/>
      <c r="R30" s="330"/>
      <c r="S30" s="348" t="s">
        <v>860</v>
      </c>
      <c r="T30" s="310">
        <v>4</v>
      </c>
      <c r="U30" s="332"/>
      <c r="V30" s="349"/>
      <c r="W30" s="322"/>
      <c r="X30" s="317"/>
      <c r="Y30" s="316"/>
      <c r="Z30" s="319"/>
      <c r="AA30" s="375"/>
      <c r="AB30" s="316"/>
      <c r="AC30" s="316"/>
      <c r="AD30" s="316"/>
      <c r="AE30" s="320"/>
      <c r="AF30" s="316"/>
      <c r="AG30" s="316"/>
      <c r="AH30" s="350"/>
    </row>
    <row r="31" spans="1:34" ht="40.35" customHeight="1" x14ac:dyDescent="0.3">
      <c r="B31" s="459"/>
      <c r="C31" s="316" t="s">
        <v>143</v>
      </c>
      <c r="D31" s="456"/>
      <c r="E31" s="456"/>
      <c r="F31" s="316"/>
      <c r="G31" s="326" t="s">
        <v>861</v>
      </c>
      <c r="H31" s="330"/>
      <c r="I31" s="330" t="s">
        <v>182</v>
      </c>
      <c r="J31" s="330"/>
      <c r="K31" s="330"/>
      <c r="L31" s="330"/>
      <c r="M31" s="330"/>
      <c r="N31" s="330"/>
      <c r="O31" s="330"/>
      <c r="P31" s="330"/>
      <c r="Q31" s="330"/>
      <c r="R31" s="330"/>
      <c r="S31" s="348" t="s">
        <v>862</v>
      </c>
      <c r="T31" s="311">
        <f>6/8</f>
        <v>0.75</v>
      </c>
      <c r="U31" s="333">
        <f>2/4</f>
        <v>0.5</v>
      </c>
      <c r="V31" s="349"/>
      <c r="W31" s="322">
        <f>Sankey_diag!N57</f>
        <v>357.11655000000002</v>
      </c>
      <c r="X31" s="317" cm="1">
        <f t="array" ref="X31">IF(Y31="",W31,_xlfn.XLOOKUP(Y31,$Y$2:Y30,$AC$2:AC30,W31,0,-1))</f>
        <v>357.11655000000002</v>
      </c>
      <c r="Y31" s="316">
        <v>14</v>
      </c>
      <c r="Z31" s="319">
        <f>1-0.5/3.2</f>
        <v>0.84375</v>
      </c>
      <c r="AA31" s="375">
        <f>(T31-U31)*Z31*W31</f>
        <v>75.329272265625008</v>
      </c>
      <c r="AB31" s="316">
        <f>(T31-U31)*Z31*X31</f>
        <v>75.329272265625008</v>
      </c>
      <c r="AC31" s="316">
        <f>X31-AB31</f>
        <v>281.78727773437504</v>
      </c>
      <c r="AD31" s="316"/>
      <c r="AE31" s="320">
        <f>AA31/Sankey_diag!$H$62</f>
        <v>2.0496759882865562E-2</v>
      </c>
      <c r="AF31" s="316"/>
      <c r="AG31" s="316"/>
      <c r="AH31" s="350"/>
    </row>
    <row r="32" spans="1:34" ht="43.2" x14ac:dyDescent="0.3">
      <c r="B32" s="459"/>
      <c r="C32" s="316" t="s">
        <v>143</v>
      </c>
      <c r="D32" s="456"/>
      <c r="E32" s="456"/>
      <c r="F32" s="316"/>
      <c r="G32" s="326" t="s">
        <v>2602</v>
      </c>
      <c r="H32" s="330"/>
      <c r="I32" s="330"/>
      <c r="J32" s="330" t="s">
        <v>185</v>
      </c>
      <c r="K32" s="330"/>
      <c r="L32" s="330"/>
      <c r="M32" s="330"/>
      <c r="N32" s="330"/>
      <c r="O32" s="330"/>
      <c r="P32" s="330"/>
      <c r="Q32" s="330"/>
      <c r="R32" s="330"/>
      <c r="S32" s="348" t="s">
        <v>186</v>
      </c>
      <c r="T32" s="311">
        <v>0.75</v>
      </c>
      <c r="U32" s="333">
        <v>0.3</v>
      </c>
      <c r="V32" s="349"/>
      <c r="W32" s="322">
        <f>Sankey_diag!N58</f>
        <v>42.621399999999994</v>
      </c>
      <c r="X32" s="317"/>
      <c r="Y32" s="316"/>
      <c r="Z32" s="319">
        <f>Z31</f>
        <v>0.84375</v>
      </c>
      <c r="AA32" s="375">
        <f>(T32-U32)*Z32*W32</f>
        <v>16.1828128125</v>
      </c>
      <c r="AB32" s="316">
        <f>(T32-U32)*Z32*X32</f>
        <v>0</v>
      </c>
      <c r="AC32" s="316"/>
      <c r="AD32" s="316"/>
      <c r="AE32" s="320"/>
      <c r="AF32" s="316"/>
      <c r="AG32" s="316"/>
      <c r="AH32" s="350"/>
    </row>
    <row r="33" spans="1:34" ht="44.1" customHeight="1" x14ac:dyDescent="0.3">
      <c r="A33" t="s">
        <v>187</v>
      </c>
      <c r="B33" s="459"/>
      <c r="C33" s="316" t="s">
        <v>143</v>
      </c>
      <c r="D33" s="456"/>
      <c r="E33" s="456" t="s">
        <v>188</v>
      </c>
      <c r="F33" s="316" t="s">
        <v>189</v>
      </c>
      <c r="G33" s="326" t="s">
        <v>190</v>
      </c>
      <c r="H33" s="330"/>
      <c r="I33" s="330"/>
      <c r="J33" s="330" t="s">
        <v>41</v>
      </c>
      <c r="K33" s="330">
        <v>1</v>
      </c>
      <c r="L33" s="330" t="s">
        <v>86</v>
      </c>
      <c r="M33" s="330" t="s">
        <v>44</v>
      </c>
      <c r="N33" s="330" t="s">
        <v>44</v>
      </c>
      <c r="O33" s="330" t="s">
        <v>191</v>
      </c>
      <c r="P33" s="330" t="s">
        <v>45</v>
      </c>
      <c r="Q33" s="330"/>
      <c r="R33" s="330"/>
      <c r="S33" s="348"/>
      <c r="T33" s="310"/>
      <c r="U33" s="332"/>
      <c r="V33" s="349"/>
      <c r="W33" s="322"/>
      <c r="X33" s="317" cm="1">
        <f t="array" ref="X33">IF(Y33="",W33,_xlfn.XLOOKUP(Y33,$Y$2:Y31,$AC$2:AC31,W33,0,-1))</f>
        <v>0</v>
      </c>
      <c r="Y33" s="316"/>
      <c r="Z33" s="316"/>
      <c r="AA33" s="375">
        <f t="shared" ref="AA33" si="12">(T33-U33)*Z33*W33</f>
        <v>0</v>
      </c>
      <c r="AB33" s="316">
        <f t="shared" ref="AB33" si="13">(T33-U33)*Z33*X33</f>
        <v>0</v>
      </c>
      <c r="AC33" s="316">
        <f t="shared" ref="AC33" si="14">X33-AB33</f>
        <v>0</v>
      </c>
      <c r="AD33" s="316"/>
      <c r="AE33" s="320">
        <f>AA33/Sankey_diag!$H$62</f>
        <v>0</v>
      </c>
      <c r="AF33" s="316"/>
      <c r="AG33" s="316"/>
      <c r="AH33" s="350"/>
    </row>
    <row r="34" spans="1:34" ht="28.8" x14ac:dyDescent="0.3">
      <c r="B34" s="459"/>
      <c r="C34" s="316" t="s">
        <v>143</v>
      </c>
      <c r="D34" s="456"/>
      <c r="E34" s="456"/>
      <c r="F34" s="316"/>
      <c r="G34" s="327" t="s">
        <v>863</v>
      </c>
      <c r="H34" s="330"/>
      <c r="I34" s="330" t="s">
        <v>858</v>
      </c>
      <c r="J34" s="330"/>
      <c r="K34" s="330"/>
      <c r="L34" s="330"/>
      <c r="M34" s="330"/>
      <c r="N34" s="330"/>
      <c r="O34" s="330"/>
      <c r="P34" s="330"/>
      <c r="Q34" s="330"/>
      <c r="R34" s="330"/>
      <c r="S34" s="348" t="s">
        <v>193</v>
      </c>
      <c r="T34" s="311">
        <v>1</v>
      </c>
      <c r="U34" s="334">
        <v>0</v>
      </c>
      <c r="V34" s="349"/>
      <c r="W34" s="322"/>
      <c r="X34" s="317"/>
      <c r="Y34" s="316"/>
      <c r="Z34" s="316"/>
      <c r="AA34" s="375">
        <f>AA31+AA28</f>
        <v>118.183258265625</v>
      </c>
      <c r="AB34" s="316"/>
      <c r="AC34" s="316"/>
      <c r="AD34" s="316"/>
      <c r="AE34" s="320"/>
      <c r="AF34" s="316"/>
      <c r="AG34" s="316"/>
      <c r="AH34" s="350"/>
    </row>
    <row r="35" spans="1:34" x14ac:dyDescent="0.3">
      <c r="B35" s="459"/>
      <c r="C35" s="316" t="s">
        <v>143</v>
      </c>
      <c r="D35" s="456"/>
      <c r="E35" s="456"/>
      <c r="F35" s="316"/>
      <c r="G35" s="326" t="s">
        <v>194</v>
      </c>
      <c r="H35" s="330"/>
      <c r="I35" s="330"/>
      <c r="J35" s="330"/>
      <c r="K35" s="330"/>
      <c r="L35" s="330"/>
      <c r="M35" s="330"/>
      <c r="N35" s="330"/>
      <c r="O35" s="330"/>
      <c r="P35" s="330"/>
      <c r="Q35" s="330"/>
      <c r="R35" s="330"/>
      <c r="S35" s="348"/>
      <c r="T35" s="311"/>
      <c r="U35" s="334"/>
      <c r="V35" s="349"/>
      <c r="W35" s="322"/>
      <c r="X35" s="317"/>
      <c r="Y35" s="316"/>
      <c r="Z35" s="316"/>
      <c r="AA35" s="375"/>
      <c r="AB35" s="316"/>
      <c r="AC35" s="316"/>
      <c r="AD35" s="316"/>
      <c r="AE35" s="320"/>
      <c r="AF35" s="316"/>
      <c r="AG35" s="316"/>
      <c r="AH35" s="350"/>
    </row>
    <row r="36" spans="1:34" x14ac:dyDescent="0.3">
      <c r="B36" s="459"/>
      <c r="C36" s="316" t="s">
        <v>143</v>
      </c>
      <c r="D36" s="456"/>
      <c r="E36" s="456" t="s">
        <v>195</v>
      </c>
      <c r="F36" s="316"/>
      <c r="G36" s="326" t="s">
        <v>196</v>
      </c>
      <c r="H36" s="330"/>
      <c r="I36" s="330" t="s">
        <v>858</v>
      </c>
      <c r="J36" s="330"/>
      <c r="K36" s="330"/>
      <c r="L36" s="330"/>
      <c r="M36" s="330"/>
      <c r="N36" s="330"/>
      <c r="O36" s="330"/>
      <c r="P36" s="330"/>
      <c r="Q36" s="330"/>
      <c r="R36" s="330"/>
      <c r="S36" s="348" t="s">
        <v>197</v>
      </c>
      <c r="T36" s="311">
        <v>0.7</v>
      </c>
      <c r="U36" s="334">
        <v>0.1</v>
      </c>
      <c r="V36" s="349"/>
      <c r="W36" s="322">
        <f>Sankey_diag!N57</f>
        <v>357.11655000000002</v>
      </c>
      <c r="X36" s="317"/>
      <c r="Y36" s="316"/>
      <c r="Z36" s="319">
        <v>0.05</v>
      </c>
      <c r="AA36" s="375">
        <f>(T36-U36)*Z36*W36</f>
        <v>10.7134965</v>
      </c>
      <c r="AB36" s="316"/>
      <c r="AC36" s="316"/>
      <c r="AD36" s="316"/>
      <c r="AE36" s="320"/>
      <c r="AF36" s="316"/>
      <c r="AG36" s="316"/>
      <c r="AH36" s="350"/>
    </row>
    <row r="37" spans="1:34" x14ac:dyDescent="0.3">
      <c r="A37" t="s">
        <v>198</v>
      </c>
      <c r="B37" s="459"/>
      <c r="C37" s="316" t="s">
        <v>143</v>
      </c>
      <c r="D37" s="456"/>
      <c r="E37" s="456"/>
      <c r="F37" s="316" t="s">
        <v>199</v>
      </c>
      <c r="G37" s="326" t="s">
        <v>200</v>
      </c>
      <c r="H37" s="330"/>
      <c r="I37" s="330"/>
      <c r="J37" s="330" t="s">
        <v>41</v>
      </c>
      <c r="K37" s="330">
        <v>0</v>
      </c>
      <c r="L37" s="330" t="s">
        <v>86</v>
      </c>
      <c r="M37" s="330" t="s">
        <v>43</v>
      </c>
      <c r="N37" s="330" t="s">
        <v>43</v>
      </c>
      <c r="O37" s="330" t="s">
        <v>201</v>
      </c>
      <c r="P37" s="330" t="s">
        <v>45</v>
      </c>
      <c r="Q37" s="330"/>
      <c r="R37" s="330"/>
      <c r="S37" s="348" t="s">
        <v>202</v>
      </c>
      <c r="T37" s="311">
        <v>0.75</v>
      </c>
      <c r="U37" s="332">
        <v>0</v>
      </c>
      <c r="V37" s="349"/>
      <c r="W37" s="322">
        <f>Sankey_diag!N58</f>
        <v>42.621399999999994</v>
      </c>
      <c r="X37" s="317" cm="1">
        <f t="array" ref="X37">IF(Y37="",W37,_xlfn.XLOOKUP(Y37,$Y$2:Y33,$AC$2:AC33,W37,0,-1))</f>
        <v>42.621399999999994</v>
      </c>
      <c r="Y37" s="316"/>
      <c r="Z37" s="319">
        <v>0.05</v>
      </c>
      <c r="AA37" s="375">
        <f t="shared" ref="AA37" si="15">(T37-U37)*Z37*W37</f>
        <v>1.5983025</v>
      </c>
      <c r="AB37" s="316">
        <f t="shared" ref="AB37" si="16">(T37-U37)*Z37*X37</f>
        <v>1.5983025</v>
      </c>
      <c r="AC37" s="316">
        <f t="shared" ref="AC37" si="17">X37-AB37</f>
        <v>41.023097499999992</v>
      </c>
      <c r="AD37" s="316"/>
      <c r="AE37" s="320">
        <f>AA37/Sankey_diag!$H$62</f>
        <v>4.3489100023647926E-4</v>
      </c>
      <c r="AF37" s="316"/>
      <c r="AG37" s="316"/>
      <c r="AH37" s="350"/>
    </row>
    <row r="38" spans="1:34" ht="29.4" thickBot="1" x14ac:dyDescent="0.35">
      <c r="B38" s="460"/>
      <c r="C38" s="351" t="s">
        <v>143</v>
      </c>
      <c r="D38" s="457"/>
      <c r="E38" s="352" t="s">
        <v>203</v>
      </c>
      <c r="F38" s="351" t="s">
        <v>204</v>
      </c>
      <c r="G38" s="353" t="s">
        <v>2616</v>
      </c>
      <c r="H38" s="354"/>
      <c r="I38" s="354"/>
      <c r="J38" s="354" t="s">
        <v>41</v>
      </c>
      <c r="K38" s="354"/>
      <c r="L38" s="354" t="s">
        <v>53</v>
      </c>
      <c r="M38" s="354" t="s">
        <v>43</v>
      </c>
      <c r="N38" s="354" t="s">
        <v>44</v>
      </c>
      <c r="O38" s="354"/>
      <c r="P38" s="354" t="s">
        <v>45</v>
      </c>
      <c r="Q38" s="354"/>
      <c r="R38" s="354"/>
      <c r="S38" s="356" t="s">
        <v>206</v>
      </c>
      <c r="T38" s="357">
        <v>0.9</v>
      </c>
      <c r="U38" s="358">
        <v>0</v>
      </c>
      <c r="V38" s="359"/>
      <c r="W38" s="360"/>
      <c r="X38" s="361"/>
      <c r="Y38" s="351"/>
      <c r="Z38" s="369"/>
      <c r="AA38" s="376"/>
      <c r="AB38" s="351"/>
      <c r="AC38" s="351"/>
      <c r="AD38" s="351"/>
      <c r="AE38" s="362"/>
      <c r="AF38" s="351"/>
      <c r="AG38" s="351"/>
      <c r="AH38" s="363"/>
    </row>
    <row r="39" spans="1:34" ht="58.2" thickTop="1" x14ac:dyDescent="0.3">
      <c r="A39" t="s">
        <v>207</v>
      </c>
      <c r="B39" s="458" t="s">
        <v>208</v>
      </c>
      <c r="C39" s="336" t="s">
        <v>209</v>
      </c>
      <c r="D39" s="455" t="s">
        <v>210</v>
      </c>
      <c r="E39" s="337" t="s">
        <v>211</v>
      </c>
      <c r="F39" s="336" t="s">
        <v>212</v>
      </c>
      <c r="G39" s="338" t="s">
        <v>212</v>
      </c>
      <c r="H39" s="339" t="s">
        <v>213</v>
      </c>
      <c r="I39" s="339" t="s">
        <v>864</v>
      </c>
      <c r="J39" s="339" t="s">
        <v>41</v>
      </c>
      <c r="K39" s="339">
        <v>1</v>
      </c>
      <c r="L39" s="339" t="s">
        <v>43</v>
      </c>
      <c r="M39" s="339" t="s">
        <v>44</v>
      </c>
      <c r="N39" s="339" t="s">
        <v>44</v>
      </c>
      <c r="O39" s="339"/>
      <c r="P39" s="339" t="s">
        <v>45</v>
      </c>
      <c r="Q39" s="339"/>
      <c r="R39" s="339"/>
      <c r="S39" s="340" t="s">
        <v>215</v>
      </c>
      <c r="T39" s="341">
        <v>0.5</v>
      </c>
      <c r="U39" s="370">
        <v>0.1</v>
      </c>
      <c r="V39" s="343"/>
      <c r="W39" s="344">
        <f>SUM(Sankey_diag!N36:N39)*Sankey_diag!P71</f>
        <v>69.405124459165265</v>
      </c>
      <c r="X39" s="345" cm="1">
        <f t="array" ref="X39">IF(Y39="",W39,_xlfn.XLOOKUP(Y39,$Y$2:Y38,$AC$2:AC38,W39,0,-1))</f>
        <v>69.405124459165265</v>
      </c>
      <c r="Y39" s="336"/>
      <c r="Z39" s="377">
        <v>0.3</v>
      </c>
      <c r="AA39" s="374">
        <f t="shared" ref="AA39:AA41" si="18">(T39-U39)*Z39*W39</f>
        <v>8.3286149350998322</v>
      </c>
      <c r="AB39" s="378">
        <f t="shared" ref="AB39:AB51" si="19">(T39-U39)*Z39*X39</f>
        <v>8.3286149350998322</v>
      </c>
      <c r="AC39" s="378">
        <f t="shared" ref="AC39:AC41" si="20">X39-AB39</f>
        <v>61.076509524065429</v>
      </c>
      <c r="AD39" s="346">
        <f>AA39/Sankey_diag!$H$29</f>
        <v>5.4625205704474924E-3</v>
      </c>
      <c r="AE39" s="346">
        <f>AA39/Sankey_diag!$H$62</f>
        <v>2.2661790741802918E-3</v>
      </c>
      <c r="AF39" s="379">
        <f>5*AE39</f>
        <v>1.1330895370901459E-2</v>
      </c>
      <c r="AG39" s="336"/>
      <c r="AH39" s="347"/>
    </row>
    <row r="40" spans="1:34" ht="47.1" customHeight="1" x14ac:dyDescent="0.3">
      <c r="A40" t="s">
        <v>216</v>
      </c>
      <c r="B40" s="459"/>
      <c r="C40" s="316"/>
      <c r="D40" s="456"/>
      <c r="E40" s="315" t="s">
        <v>217</v>
      </c>
      <c r="F40" s="316" t="s">
        <v>218</v>
      </c>
      <c r="G40" s="326" t="s">
        <v>219</v>
      </c>
      <c r="H40" s="330" t="s">
        <v>213</v>
      </c>
      <c r="I40" s="330" t="s">
        <v>220</v>
      </c>
      <c r="J40" s="330" t="s">
        <v>41</v>
      </c>
      <c r="K40" s="330">
        <v>0</v>
      </c>
      <c r="L40" s="330" t="s">
        <v>43</v>
      </c>
      <c r="M40" s="330" t="s">
        <v>44</v>
      </c>
      <c r="N40" s="330" t="s">
        <v>44</v>
      </c>
      <c r="O40" s="330"/>
      <c r="P40" s="330" t="s">
        <v>45</v>
      </c>
      <c r="Q40" s="330"/>
      <c r="R40" s="330"/>
      <c r="S40" s="348" t="s">
        <v>221</v>
      </c>
      <c r="T40" s="311">
        <v>0.75</v>
      </c>
      <c r="U40" s="332"/>
      <c r="V40" s="349">
        <v>2022</v>
      </c>
      <c r="W40" s="322"/>
      <c r="X40" s="317" cm="1">
        <f t="array" ref="X40">IF(Y40="",W40,_xlfn.XLOOKUP(Y40,$Y$2:Y39,$AC$2:AC39,W40,0,-1))</f>
        <v>0</v>
      </c>
      <c r="Y40" s="316"/>
      <c r="Z40" s="319">
        <v>0</v>
      </c>
      <c r="AA40" s="375">
        <f t="shared" si="18"/>
        <v>0</v>
      </c>
      <c r="AB40" s="323">
        <f t="shared" si="19"/>
        <v>0</v>
      </c>
      <c r="AC40" s="323">
        <f t="shared" si="20"/>
        <v>0</v>
      </c>
      <c r="AD40" s="320">
        <f>AA40/Sankey_diag!$H$29</f>
        <v>0</v>
      </c>
      <c r="AE40" s="320">
        <f>AA40/Sankey_diag!$H$62</f>
        <v>0</v>
      </c>
      <c r="AF40" s="324">
        <f>5*AE40</f>
        <v>0</v>
      </c>
      <c r="AG40" s="316"/>
      <c r="AH40" s="350"/>
    </row>
    <row r="41" spans="1:34" ht="29.1" customHeight="1" x14ac:dyDescent="0.3">
      <c r="A41" t="s">
        <v>222</v>
      </c>
      <c r="B41" s="459"/>
      <c r="C41" s="316" t="s">
        <v>223</v>
      </c>
      <c r="D41" s="456"/>
      <c r="E41" s="575" t="s">
        <v>224</v>
      </c>
      <c r="F41" s="316" t="s">
        <v>225</v>
      </c>
      <c r="G41" s="326" t="s">
        <v>225</v>
      </c>
      <c r="H41" s="330" t="s">
        <v>226</v>
      </c>
      <c r="I41" s="330" t="s">
        <v>227</v>
      </c>
      <c r="J41" s="330" t="s">
        <v>41</v>
      </c>
      <c r="K41" s="330">
        <v>1</v>
      </c>
      <c r="L41" s="330" t="s">
        <v>111</v>
      </c>
      <c r="M41" s="330" t="s">
        <v>43</v>
      </c>
      <c r="N41" s="330" t="s">
        <v>43</v>
      </c>
      <c r="O41" s="330" t="s">
        <v>228</v>
      </c>
      <c r="P41" s="330" t="s">
        <v>45</v>
      </c>
      <c r="Q41" s="330">
        <v>1</v>
      </c>
      <c r="R41" s="330"/>
      <c r="S41" s="348" t="s">
        <v>865</v>
      </c>
      <c r="T41" s="310">
        <v>2</v>
      </c>
      <c r="U41" s="332">
        <v>1</v>
      </c>
      <c r="V41" s="349">
        <v>2022</v>
      </c>
      <c r="W41" s="322">
        <v>0</v>
      </c>
      <c r="X41" s="317" cm="1">
        <f t="array" ref="X41">IF(Y41="",W41,_xlfn.XLOOKUP(Y41,$Y$2:Y40,$AC$2:AC40,W41,0,-1))</f>
        <v>0</v>
      </c>
      <c r="Y41" s="316"/>
      <c r="Z41" s="319">
        <v>0</v>
      </c>
      <c r="AA41" s="375">
        <f t="shared" si="18"/>
        <v>0</v>
      </c>
      <c r="AB41" s="323">
        <f t="shared" si="19"/>
        <v>0</v>
      </c>
      <c r="AC41" s="323">
        <f t="shared" si="20"/>
        <v>0</v>
      </c>
      <c r="AD41" s="320">
        <f>AA41/Sankey_diag!$H$29</f>
        <v>0</v>
      </c>
      <c r="AE41" s="320">
        <f>AA41/Sankey_diag!$H$62</f>
        <v>0</v>
      </c>
      <c r="AF41" s="320"/>
      <c r="AG41" s="316"/>
      <c r="AH41" s="350"/>
    </row>
    <row r="42" spans="1:34" ht="43.2" x14ac:dyDescent="0.3">
      <c r="A42" t="s">
        <v>230</v>
      </c>
      <c r="B42" s="459"/>
      <c r="C42" s="316" t="s">
        <v>223</v>
      </c>
      <c r="D42" s="456"/>
      <c r="E42" s="576"/>
      <c r="F42" s="316" t="s">
        <v>231</v>
      </c>
      <c r="G42" s="326" t="s">
        <v>231</v>
      </c>
      <c r="H42" s="330" t="s">
        <v>232</v>
      </c>
      <c r="I42" s="330" t="s">
        <v>233</v>
      </c>
      <c r="J42" s="330" t="s">
        <v>52</v>
      </c>
      <c r="K42" s="330"/>
      <c r="L42" s="330" t="s">
        <v>43</v>
      </c>
      <c r="M42" s="330" t="s">
        <v>43</v>
      </c>
      <c r="N42" s="330" t="s">
        <v>44</v>
      </c>
      <c r="O42" s="330"/>
      <c r="P42" s="330" t="s">
        <v>106</v>
      </c>
      <c r="Q42" s="330">
        <v>1</v>
      </c>
      <c r="R42" s="330"/>
      <c r="S42" s="348" t="s">
        <v>234</v>
      </c>
      <c r="T42" s="311">
        <v>1</v>
      </c>
      <c r="U42" s="334">
        <v>0.1</v>
      </c>
      <c r="V42" s="349"/>
      <c r="W42" s="322">
        <f>SUM(Sankey_diag!N29:N32,Sankey_diag!N36:N43)</f>
        <v>1469.0847316526442</v>
      </c>
      <c r="X42" s="317" cm="1">
        <f t="array" ref="X42">IF(Y42="",W44,_xlfn.XLOOKUP(Y42,$Y$2:Y41,$AC$2:AC41,W44,0,-1))</f>
        <v>1388.1024891833051</v>
      </c>
      <c r="Y42" s="316">
        <v>5</v>
      </c>
      <c r="Z42" s="319">
        <v>0.03</v>
      </c>
      <c r="AA42" s="375">
        <f>(T42-U42)*Z42*W42</f>
        <v>39.665287754621396</v>
      </c>
      <c r="AB42" s="323">
        <f t="shared" si="19"/>
        <v>37.47876720794924</v>
      </c>
      <c r="AC42" s="323">
        <f>X42-AB42</f>
        <v>1350.6237219753559</v>
      </c>
      <c r="AD42" s="320">
        <f>AA42/Sankey_diag!$H$29</f>
        <v>2.6015424170854794E-2</v>
      </c>
      <c r="AE42" s="320">
        <f>AA42/Sankey_diag!$H$62</f>
        <v>1.0792748347872239E-2</v>
      </c>
      <c r="AF42" s="320"/>
      <c r="AG42" s="316"/>
      <c r="AH42" s="350"/>
    </row>
    <row r="43" spans="1:34" ht="28.8" x14ac:dyDescent="0.3">
      <c r="B43" s="459"/>
      <c r="C43" s="316" t="s">
        <v>223</v>
      </c>
      <c r="D43" s="456"/>
      <c r="E43" s="573"/>
      <c r="F43" s="316"/>
      <c r="G43" s="326" t="s">
        <v>866</v>
      </c>
      <c r="H43" s="330"/>
      <c r="I43" s="330"/>
      <c r="J43" s="330"/>
      <c r="K43" s="330"/>
      <c r="L43" s="330"/>
      <c r="M43" s="330"/>
      <c r="N43" s="330"/>
      <c r="O43" s="330"/>
      <c r="P43" s="330"/>
      <c r="Q43" s="330"/>
      <c r="R43" s="330"/>
      <c r="S43" s="348" t="s">
        <v>867</v>
      </c>
      <c r="T43" s="311">
        <v>1</v>
      </c>
      <c r="U43" s="334"/>
      <c r="V43" s="349"/>
      <c r="W43" s="322"/>
      <c r="X43" s="317"/>
      <c r="Y43" s="316"/>
      <c r="Z43" s="319"/>
      <c r="AA43" s="375"/>
      <c r="AB43" s="323"/>
      <c r="AC43" s="323"/>
      <c r="AD43" s="320"/>
      <c r="AE43" s="320"/>
      <c r="AF43" s="320"/>
      <c r="AG43" s="316"/>
      <c r="AH43" s="350"/>
    </row>
    <row r="44" spans="1:34" ht="14.4" customHeight="1" x14ac:dyDescent="0.3">
      <c r="A44" t="s">
        <v>235</v>
      </c>
      <c r="B44" s="459"/>
      <c r="C44" s="316" t="s">
        <v>223</v>
      </c>
      <c r="D44" s="456"/>
      <c r="E44" s="456" t="s">
        <v>236</v>
      </c>
      <c r="F44" s="316" t="s">
        <v>237</v>
      </c>
      <c r="G44" s="326" t="s">
        <v>238</v>
      </c>
      <c r="H44" s="330" t="s">
        <v>213</v>
      </c>
      <c r="I44" s="330" t="s">
        <v>239</v>
      </c>
      <c r="J44" s="330" t="s">
        <v>140</v>
      </c>
      <c r="K44" s="330"/>
      <c r="L44" s="330" t="s">
        <v>43</v>
      </c>
      <c r="M44" s="330" t="s">
        <v>111</v>
      </c>
      <c r="N44" s="330" t="s">
        <v>43</v>
      </c>
      <c r="O44" s="330"/>
      <c r="P44" s="330" t="s">
        <v>106</v>
      </c>
      <c r="Q44" s="330">
        <v>1</v>
      </c>
      <c r="R44" s="330"/>
      <c r="S44" s="348" t="s">
        <v>240</v>
      </c>
      <c r="T44" s="311">
        <v>1</v>
      </c>
      <c r="U44" s="334">
        <v>0</v>
      </c>
      <c r="V44" s="349">
        <v>2020</v>
      </c>
      <c r="W44" s="324">
        <f>SUM(Sankey_diag!N36:N39)</f>
        <v>1388.1024891833051</v>
      </c>
      <c r="X44" s="321" cm="1">
        <f t="array" ref="X44">IF(Y44="",W44,_xlfn.XLOOKUP(Y44,$Y$2:Y42,$AC$2:AC42,W44,0,-1))</f>
        <v>1388.1024891833051</v>
      </c>
      <c r="Y44" s="316">
        <v>2</v>
      </c>
      <c r="Z44" s="319">
        <f>2.5%*50%</f>
        <v>1.2500000000000001E-2</v>
      </c>
      <c r="AA44" s="375">
        <f t="shared" ref="AA44:AA54" si="21">(T44-U44)*Z44*W44</f>
        <v>17.351281114791316</v>
      </c>
      <c r="AB44" s="323">
        <f t="shared" si="19"/>
        <v>17.351281114791316</v>
      </c>
      <c r="AC44" s="323">
        <f t="shared" ref="AC44:AC54" si="22">X44-AB44</f>
        <v>1370.7512080685137</v>
      </c>
      <c r="AD44" s="320">
        <f>AA44/Sankey_diag!$H$29</f>
        <v>1.1380251188432276E-2</v>
      </c>
      <c r="AE44" s="320">
        <f>AA44/Sankey_diag!$H$62</f>
        <v>4.7212064045422742E-3</v>
      </c>
      <c r="AF44" s="324">
        <f>5*AE44</f>
        <v>2.360603202271137E-2</v>
      </c>
      <c r="AG44" s="316"/>
      <c r="AH44" s="350"/>
    </row>
    <row r="45" spans="1:34" x14ac:dyDescent="0.3">
      <c r="A45" t="s">
        <v>241</v>
      </c>
      <c r="B45" s="459"/>
      <c r="C45" s="316" t="s">
        <v>223</v>
      </c>
      <c r="D45" s="456"/>
      <c r="E45" s="456"/>
      <c r="F45" s="316" t="s">
        <v>242</v>
      </c>
      <c r="G45" s="326" t="s">
        <v>243</v>
      </c>
      <c r="H45" s="330" t="s">
        <v>213</v>
      </c>
      <c r="I45" s="330" t="s">
        <v>244</v>
      </c>
      <c r="J45" s="330" t="s">
        <v>41</v>
      </c>
      <c r="K45" s="330">
        <v>0</v>
      </c>
      <c r="L45" s="330"/>
      <c r="M45" s="330"/>
      <c r="N45" s="330"/>
      <c r="O45" s="330" t="s">
        <v>245</v>
      </c>
      <c r="P45" s="330" t="s">
        <v>106</v>
      </c>
      <c r="Q45" s="330">
        <v>1</v>
      </c>
      <c r="R45" s="330"/>
      <c r="S45" s="348" t="s">
        <v>246</v>
      </c>
      <c r="T45" s="395">
        <v>0.6</v>
      </c>
      <c r="U45" s="332">
        <v>0</v>
      </c>
      <c r="V45" s="349"/>
      <c r="W45" s="322">
        <f>SUM(Sankey_diag!N29:N32,Sankey_diag!N36:N43)</f>
        <v>1469.0847316526442</v>
      </c>
      <c r="X45" s="321">
        <f>W45-AA44</f>
        <v>1451.7334505378528</v>
      </c>
      <c r="Y45" s="316">
        <v>2</v>
      </c>
      <c r="Z45" s="319">
        <v>0.39</v>
      </c>
      <c r="AA45" s="375">
        <f t="shared" si="21"/>
        <v>343.76582720671871</v>
      </c>
      <c r="AB45" s="323">
        <f t="shared" si="19"/>
        <v>339.70562742585753</v>
      </c>
      <c r="AC45" s="323">
        <f t="shared" si="22"/>
        <v>1112.0278231119953</v>
      </c>
      <c r="AD45" s="320">
        <f>AA45/Sankey_diag!$H$29</f>
        <v>0.22546700948074153</v>
      </c>
      <c r="AE45" s="320">
        <f>AA45/Sankey_diag!$H$62</f>
        <v>9.3537152348226071E-2</v>
      </c>
      <c r="AF45" s="324">
        <f>5*AE45</f>
        <v>0.46768576174113036</v>
      </c>
      <c r="AG45" s="316"/>
      <c r="AH45" s="350"/>
    </row>
    <row r="46" spans="1:34" ht="28.8" x14ac:dyDescent="0.3">
      <c r="A46" t="s">
        <v>247</v>
      </c>
      <c r="B46" s="459"/>
      <c r="C46" s="316" t="s">
        <v>223</v>
      </c>
      <c r="D46" s="456"/>
      <c r="E46" s="456"/>
      <c r="F46" s="316" t="s">
        <v>248</v>
      </c>
      <c r="G46" s="326" t="s">
        <v>249</v>
      </c>
      <c r="H46" s="330" t="s">
        <v>213</v>
      </c>
      <c r="I46" s="330" t="s">
        <v>250</v>
      </c>
      <c r="J46" s="330" t="s">
        <v>41</v>
      </c>
      <c r="K46" s="330">
        <v>4</v>
      </c>
      <c r="L46" s="330" t="s">
        <v>43</v>
      </c>
      <c r="M46" s="330" t="s">
        <v>111</v>
      </c>
      <c r="N46" s="330" t="s">
        <v>111</v>
      </c>
      <c r="O46" s="330" t="s">
        <v>251</v>
      </c>
      <c r="P46" s="330" t="s">
        <v>45</v>
      </c>
      <c r="Q46" s="330">
        <v>1</v>
      </c>
      <c r="R46" s="330"/>
      <c r="S46" s="348" t="s">
        <v>252</v>
      </c>
      <c r="T46" s="311">
        <v>1</v>
      </c>
      <c r="U46" s="332"/>
      <c r="V46" s="349">
        <v>2022</v>
      </c>
      <c r="W46" s="322"/>
      <c r="X46" s="317"/>
      <c r="Y46" s="316"/>
      <c r="Z46" s="319"/>
      <c r="AA46" s="375">
        <f t="shared" si="21"/>
        <v>0</v>
      </c>
      <c r="AB46" s="323">
        <f t="shared" si="19"/>
        <v>0</v>
      </c>
      <c r="AC46" s="323">
        <f t="shared" si="22"/>
        <v>0</v>
      </c>
      <c r="AD46" s="320">
        <f>AA46/Sankey_diag!$H$29</f>
        <v>0</v>
      </c>
      <c r="AE46" s="320">
        <f>AA46/Sankey_diag!$H$62</f>
        <v>0</v>
      </c>
      <c r="AF46" s="324">
        <f>5*AE46</f>
        <v>0</v>
      </c>
      <c r="AG46" s="316"/>
      <c r="AH46" s="350"/>
    </row>
    <row r="47" spans="1:34" x14ac:dyDescent="0.3">
      <c r="A47" t="s">
        <v>253</v>
      </c>
      <c r="B47" s="459"/>
      <c r="C47" s="316" t="s">
        <v>223</v>
      </c>
      <c r="D47" s="456"/>
      <c r="E47" s="456"/>
      <c r="F47" s="316" t="s">
        <v>254</v>
      </c>
      <c r="G47" s="326" t="s">
        <v>868</v>
      </c>
      <c r="H47" s="330" t="s">
        <v>213</v>
      </c>
      <c r="I47" s="330" t="s">
        <v>256</v>
      </c>
      <c r="J47" s="330" t="s">
        <v>52</v>
      </c>
      <c r="K47" s="330"/>
      <c r="L47" s="330" t="s">
        <v>44</v>
      </c>
      <c r="M47" s="330" t="s">
        <v>111</v>
      </c>
      <c r="N47" s="330" t="s">
        <v>111</v>
      </c>
      <c r="O47" s="330"/>
      <c r="P47" s="330" t="s">
        <v>106</v>
      </c>
      <c r="Q47" s="330">
        <v>1</v>
      </c>
      <c r="R47" s="330"/>
      <c r="S47" s="348" t="s">
        <v>257</v>
      </c>
      <c r="T47" s="311">
        <v>0.6</v>
      </c>
      <c r="U47" s="332">
        <v>0</v>
      </c>
      <c r="V47" s="349"/>
      <c r="W47" s="324">
        <f>(Sankey_diag!K36+Sankey_diag!K40)*90%</f>
        <v>1274.9334517649747</v>
      </c>
      <c r="X47" s="317" cm="1">
        <f t="array" ref="X47">IF(Y47="",W47,_xlfn.XLOOKUP(Y47,$Y$2:Y46,$AC$2:AC46,W47,0,-1))</f>
        <v>1274.9334517649747</v>
      </c>
      <c r="Y47" s="316"/>
      <c r="Z47" s="319">
        <v>0.25</v>
      </c>
      <c r="AA47" s="375">
        <f t="shared" si="21"/>
        <v>191.2400177647462</v>
      </c>
      <c r="AB47" s="323">
        <f t="shared" si="19"/>
        <v>191.2400177647462</v>
      </c>
      <c r="AC47" s="323">
        <f t="shared" si="22"/>
        <v>1083.6934340002285</v>
      </c>
      <c r="AD47" s="320">
        <f>AA47/Sankey_diag!$H$29</f>
        <v>0.1254293227713196</v>
      </c>
      <c r="AE47" s="320">
        <f>AA47/Sankey_diag!$H$62</f>
        <v>5.2035558106774238E-2</v>
      </c>
      <c r="AF47" s="324">
        <f>5*AE47</f>
        <v>0.26017779053387119</v>
      </c>
      <c r="AG47" s="316"/>
      <c r="AH47" s="350"/>
    </row>
    <row r="48" spans="1:34" ht="41.25" customHeight="1" x14ac:dyDescent="0.3">
      <c r="A48" t="s">
        <v>258</v>
      </c>
      <c r="B48" s="459"/>
      <c r="C48" s="316" t="s">
        <v>223</v>
      </c>
      <c r="D48" s="456"/>
      <c r="E48" s="456"/>
      <c r="F48" s="316" t="s">
        <v>259</v>
      </c>
      <c r="G48" s="326" t="s">
        <v>259</v>
      </c>
      <c r="H48" s="330" t="s">
        <v>260</v>
      </c>
      <c r="I48" s="330" t="s">
        <v>261</v>
      </c>
      <c r="J48" s="330" t="s">
        <v>52</v>
      </c>
      <c r="K48" s="330"/>
      <c r="L48" s="330" t="s">
        <v>43</v>
      </c>
      <c r="M48" s="330" t="s">
        <v>111</v>
      </c>
      <c r="N48" s="330" t="s">
        <v>111</v>
      </c>
      <c r="O48" s="330"/>
      <c r="P48" s="330" t="s">
        <v>106</v>
      </c>
      <c r="Q48" s="330">
        <v>1</v>
      </c>
      <c r="R48" s="330"/>
      <c r="S48" s="348" t="s">
        <v>262</v>
      </c>
      <c r="T48" s="311">
        <v>1</v>
      </c>
      <c r="U48" s="332">
        <v>0</v>
      </c>
      <c r="V48" s="349"/>
      <c r="W48" s="324">
        <f>Sankey_diag!K40</f>
        <v>28.490234999999998</v>
      </c>
      <c r="X48" s="317" cm="1">
        <f t="array" ref="X48">IF(Y48="",W48,_xlfn.XLOOKUP(Y48,$Y$2:Y47,$AC$2:AC47,W48,0,-1))</f>
        <v>28.490234999999998</v>
      </c>
      <c r="Y48" s="319"/>
      <c r="Z48" s="319">
        <v>0.34</v>
      </c>
      <c r="AA48" s="375">
        <f t="shared" si="21"/>
        <v>9.6866798999999997</v>
      </c>
      <c r="AB48" s="323">
        <f t="shared" si="19"/>
        <v>9.6866798999999997</v>
      </c>
      <c r="AC48" s="323">
        <f t="shared" si="22"/>
        <v>18.803555099999997</v>
      </c>
      <c r="AD48" s="320">
        <f>AA48/Sankey_diag!$H$29</f>
        <v>6.3532398394470857E-3</v>
      </c>
      <c r="AE48" s="320">
        <f>AA48/Sankey_diag!$H$62</f>
        <v>2.6357025098074981E-3</v>
      </c>
      <c r="AF48" s="320"/>
      <c r="AG48" s="316"/>
      <c r="AH48" s="350"/>
    </row>
    <row r="49" spans="1:34" ht="14.4" customHeight="1" x14ac:dyDescent="0.3">
      <c r="A49" t="s">
        <v>263</v>
      </c>
      <c r="B49" s="459"/>
      <c r="C49" s="316" t="s">
        <v>223</v>
      </c>
      <c r="D49" s="456"/>
      <c r="E49" s="456"/>
      <c r="F49" s="316" t="s">
        <v>264</v>
      </c>
      <c r="G49" s="326" t="s">
        <v>264</v>
      </c>
      <c r="H49" s="330" t="s">
        <v>260</v>
      </c>
      <c r="I49" s="330" t="s">
        <v>265</v>
      </c>
      <c r="J49" s="330" t="s">
        <v>52</v>
      </c>
      <c r="K49" s="330"/>
      <c r="L49" s="330" t="s">
        <v>43</v>
      </c>
      <c r="M49" s="330" t="s">
        <v>111</v>
      </c>
      <c r="N49" s="330" t="s">
        <v>111</v>
      </c>
      <c r="O49" s="330"/>
      <c r="P49" s="330" t="s">
        <v>106</v>
      </c>
      <c r="Q49" s="330">
        <v>1</v>
      </c>
      <c r="R49" s="330"/>
      <c r="S49" s="348" t="s">
        <v>266</v>
      </c>
      <c r="T49" s="311">
        <v>1</v>
      </c>
      <c r="U49" s="334">
        <v>0.75</v>
      </c>
      <c r="V49" s="349"/>
      <c r="W49" s="324">
        <f>Sankey_diag!K36+Sankey_diag!K40</f>
        <v>1416.5927241833051</v>
      </c>
      <c r="X49" s="322" cm="1">
        <f t="array" ref="X49">IF(Y49="",W49,_xlfn.XLOOKUP(Y49,$Y$2:Y48,$AC$2:AC48,W49,0,-1))</f>
        <v>1350.6237219753559</v>
      </c>
      <c r="Y49" s="316">
        <v>5</v>
      </c>
      <c r="Z49" s="319">
        <v>0.1</v>
      </c>
      <c r="AA49" s="375">
        <f t="shared" si="21"/>
        <v>35.414818104582629</v>
      </c>
      <c r="AB49" s="323">
        <f t="shared" si="19"/>
        <v>33.765593049383902</v>
      </c>
      <c r="AC49" s="323">
        <f t="shared" si="22"/>
        <v>1316.8581289259721</v>
      </c>
      <c r="AD49" s="320">
        <f>AA49/Sankey_diag!$H$29</f>
        <v>2.3227652365059189E-2</v>
      </c>
      <c r="AE49" s="320">
        <f>AA49/Sankey_diag!$H$62</f>
        <v>9.6362144642174515E-3</v>
      </c>
      <c r="AF49" s="320"/>
      <c r="AG49" s="316"/>
      <c r="AH49" s="350"/>
    </row>
    <row r="50" spans="1:34" ht="12.75" customHeight="1" x14ac:dyDescent="0.3">
      <c r="A50" t="s">
        <v>267</v>
      </c>
      <c r="B50" s="459"/>
      <c r="C50" s="316" t="s">
        <v>268</v>
      </c>
      <c r="D50" s="456"/>
      <c r="E50" s="456"/>
      <c r="F50" s="316" t="s">
        <v>269</v>
      </c>
      <c r="G50" s="326" t="s">
        <v>269</v>
      </c>
      <c r="H50" s="330" t="s">
        <v>260</v>
      </c>
      <c r="I50" s="330" t="s">
        <v>270</v>
      </c>
      <c r="J50" s="330" t="s">
        <v>52</v>
      </c>
      <c r="K50" s="330"/>
      <c r="L50" s="330" t="s">
        <v>43</v>
      </c>
      <c r="M50" s="330" t="s">
        <v>43</v>
      </c>
      <c r="N50" s="330" t="s">
        <v>44</v>
      </c>
      <c r="O50" s="330"/>
      <c r="P50" s="330" t="s">
        <v>106</v>
      </c>
      <c r="Q50" s="330">
        <v>1</v>
      </c>
      <c r="R50" s="330"/>
      <c r="S50" s="348" t="s">
        <v>271</v>
      </c>
      <c r="T50" s="311">
        <v>1</v>
      </c>
      <c r="U50" s="334">
        <v>0.3</v>
      </c>
      <c r="V50" s="349"/>
      <c r="W50" s="324">
        <f>Sankey_diag!K29*40%</f>
        <v>43.236306879767604</v>
      </c>
      <c r="X50" s="317" cm="1">
        <f t="array" ref="X50">IF(Y50="",W50,_xlfn.XLOOKUP(Y50,$Y$2:Y49,$AC$2:AC49,W50,0,-1))</f>
        <v>43.236306879767604</v>
      </c>
      <c r="Y50" s="316"/>
      <c r="Z50" s="380">
        <v>0.5</v>
      </c>
      <c r="AA50" s="375">
        <f t="shared" si="21"/>
        <v>15.132707407918661</v>
      </c>
      <c r="AB50" s="323">
        <f t="shared" si="19"/>
        <v>15.132707407918661</v>
      </c>
      <c r="AC50" s="323">
        <f t="shared" si="22"/>
        <v>28.103599471848945</v>
      </c>
      <c r="AD50" s="320">
        <f>AA50/Sankey_diag!$H$29</f>
        <v>9.9251467556685635E-3</v>
      </c>
      <c r="AE50" s="320">
        <f>AA50/Sankey_diag!$H$62</f>
        <v>4.1175423681785676E-3</v>
      </c>
      <c r="AF50" s="320"/>
      <c r="AG50" s="316"/>
      <c r="AH50" s="350"/>
    </row>
    <row r="51" spans="1:34" x14ac:dyDescent="0.3">
      <c r="A51" t="s">
        <v>272</v>
      </c>
      <c r="B51" s="459"/>
      <c r="C51" s="316" t="s">
        <v>223</v>
      </c>
      <c r="D51" s="456"/>
      <c r="E51" s="456"/>
      <c r="F51" s="316" t="s">
        <v>273</v>
      </c>
      <c r="G51" s="327" t="s">
        <v>274</v>
      </c>
      <c r="H51" s="330"/>
      <c r="I51" s="330"/>
      <c r="J51" s="330" t="s">
        <v>140</v>
      </c>
      <c r="K51" s="330"/>
      <c r="L51" s="330"/>
      <c r="M51" s="330"/>
      <c r="N51" s="330"/>
      <c r="O51" s="330"/>
      <c r="P51" s="330" t="s">
        <v>106</v>
      </c>
      <c r="Q51" s="330">
        <v>1</v>
      </c>
      <c r="R51" s="330"/>
      <c r="S51" s="348" t="s">
        <v>275</v>
      </c>
      <c r="T51" s="310">
        <v>1</v>
      </c>
      <c r="U51" s="332">
        <v>0</v>
      </c>
      <c r="V51" s="349"/>
      <c r="W51" s="322">
        <f>SUM(Sankey_diag!N29:N32,Sankey_diag!N36:N43)</f>
        <v>1469.0847316526442</v>
      </c>
      <c r="X51" s="317"/>
      <c r="Y51" s="316"/>
      <c r="Z51" s="319">
        <v>0.15</v>
      </c>
      <c r="AA51" s="375">
        <f t="shared" si="21"/>
        <v>220.36270974789662</v>
      </c>
      <c r="AB51" s="323">
        <f t="shared" si="19"/>
        <v>0</v>
      </c>
      <c r="AC51" s="323">
        <f t="shared" si="22"/>
        <v>0</v>
      </c>
      <c r="AD51" s="320">
        <f>AA51/Sankey_diag!$H$29</f>
        <v>0.14453013428252662</v>
      </c>
      <c r="AE51" s="320">
        <f>AA51/Sankey_diag!$H$62</f>
        <v>5.995971304373466E-2</v>
      </c>
      <c r="AF51" s="320"/>
      <c r="AG51" s="316"/>
      <c r="AH51" s="350"/>
    </row>
    <row r="52" spans="1:34" ht="36" customHeight="1" x14ac:dyDescent="0.3">
      <c r="A52" t="s">
        <v>276</v>
      </c>
      <c r="B52" s="459"/>
      <c r="C52" s="316" t="s">
        <v>223</v>
      </c>
      <c r="D52" s="456"/>
      <c r="E52" s="456" t="s">
        <v>277</v>
      </c>
      <c r="F52" s="316" t="s">
        <v>278</v>
      </c>
      <c r="G52" s="327" t="s">
        <v>279</v>
      </c>
      <c r="H52" s="330" t="s">
        <v>226</v>
      </c>
      <c r="I52" s="330" t="s">
        <v>280</v>
      </c>
      <c r="J52" s="330" t="s">
        <v>41</v>
      </c>
      <c r="K52" s="330">
        <v>0</v>
      </c>
      <c r="L52" s="330" t="s">
        <v>43</v>
      </c>
      <c r="M52" s="330" t="s">
        <v>111</v>
      </c>
      <c r="N52" s="330" t="s">
        <v>43</v>
      </c>
      <c r="O52" s="330" t="s">
        <v>228</v>
      </c>
      <c r="P52" s="330" t="s">
        <v>45</v>
      </c>
      <c r="Q52" s="330">
        <v>1</v>
      </c>
      <c r="R52" s="330"/>
      <c r="S52" s="348" t="s">
        <v>281</v>
      </c>
      <c r="T52" s="310">
        <v>1</v>
      </c>
      <c r="U52" s="332"/>
      <c r="V52" s="349">
        <v>2023</v>
      </c>
      <c r="W52" s="322"/>
      <c r="X52" s="317"/>
      <c r="Y52" s="316">
        <v>3</v>
      </c>
      <c r="Z52" s="319">
        <v>0</v>
      </c>
      <c r="AA52" s="375">
        <f t="shared" si="21"/>
        <v>0</v>
      </c>
      <c r="AB52" s="323">
        <f>(T52-U52)*Z52*X52</f>
        <v>0</v>
      </c>
      <c r="AC52" s="323">
        <f t="shared" si="22"/>
        <v>0</v>
      </c>
      <c r="AD52" s="320">
        <f>AA52/Sankey_diag!$H$29</f>
        <v>0</v>
      </c>
      <c r="AE52" s="320">
        <f>AA52/Sankey_diag!$H$62</f>
        <v>0</v>
      </c>
      <c r="AF52" s="320"/>
      <c r="AG52" s="316"/>
      <c r="AH52" s="350"/>
    </row>
    <row r="53" spans="1:34" ht="39" customHeight="1" x14ac:dyDescent="0.3">
      <c r="A53" t="s">
        <v>282</v>
      </c>
      <c r="B53" s="459"/>
      <c r="C53" s="316" t="s">
        <v>223</v>
      </c>
      <c r="D53" s="456"/>
      <c r="E53" s="456"/>
      <c r="F53" s="316" t="s">
        <v>283</v>
      </c>
      <c r="G53" s="329" t="s">
        <v>869</v>
      </c>
      <c r="H53" s="330" t="s">
        <v>226</v>
      </c>
      <c r="I53" s="330" t="s">
        <v>285</v>
      </c>
      <c r="J53" s="330" t="s">
        <v>41</v>
      </c>
      <c r="K53" s="330">
        <v>4</v>
      </c>
      <c r="L53" s="330"/>
      <c r="M53" s="330"/>
      <c r="N53" s="330"/>
      <c r="O53" s="330" t="s">
        <v>228</v>
      </c>
      <c r="P53" s="330" t="s">
        <v>119</v>
      </c>
      <c r="Q53" s="330">
        <v>1</v>
      </c>
      <c r="R53" s="330"/>
      <c r="S53" s="348"/>
      <c r="T53" s="311">
        <v>1</v>
      </c>
      <c r="U53" s="332">
        <v>0</v>
      </c>
      <c r="V53" s="349"/>
      <c r="W53" s="322">
        <f>((Sankey_diag!K36)+(Sankey_diag!K40)+(Sankey_diag!K29))</f>
        <v>1524.683491382724</v>
      </c>
      <c r="X53" s="317" cm="1">
        <f t="array" ref="X53">IF(Y53="",W53,_xlfn.XLOOKUP(Y53,$Y$2:Y52,$AC$2:AC52,W53,0,-1))</f>
        <v>0</v>
      </c>
      <c r="Y53" s="316">
        <v>3</v>
      </c>
      <c r="Z53" s="319">
        <v>0</v>
      </c>
      <c r="AA53" s="375">
        <f t="shared" si="21"/>
        <v>0</v>
      </c>
      <c r="AB53" s="323">
        <f>(T53-U53)*Z53*X53</f>
        <v>0</v>
      </c>
      <c r="AC53" s="323">
        <f t="shared" si="22"/>
        <v>0</v>
      </c>
      <c r="AD53" s="320">
        <f>AA53/Sankey_diag!$H$29</f>
        <v>0</v>
      </c>
      <c r="AE53" s="320">
        <f>AA53/Sankey_diag!$H$62</f>
        <v>0</v>
      </c>
      <c r="AF53" s="320"/>
      <c r="AG53" s="316"/>
      <c r="AH53" s="350"/>
    </row>
    <row r="54" spans="1:34" ht="39" customHeight="1" x14ac:dyDescent="0.3">
      <c r="B54" s="459"/>
      <c r="C54" s="316" t="s">
        <v>223</v>
      </c>
      <c r="D54" s="456"/>
      <c r="E54" s="456"/>
      <c r="F54" s="316" t="s">
        <v>287</v>
      </c>
      <c r="G54" s="328" t="s">
        <v>870</v>
      </c>
      <c r="H54" s="330" t="s">
        <v>226</v>
      </c>
      <c r="I54" s="330" t="s">
        <v>289</v>
      </c>
      <c r="J54" s="330" t="s">
        <v>41</v>
      </c>
      <c r="K54" s="330">
        <v>0</v>
      </c>
      <c r="L54" s="330" t="s">
        <v>111</v>
      </c>
      <c r="M54" s="330" t="s">
        <v>43</v>
      </c>
      <c r="N54" s="330" t="s">
        <v>43</v>
      </c>
      <c r="O54" s="330"/>
      <c r="P54" s="330" t="s">
        <v>106</v>
      </c>
      <c r="Q54" s="330">
        <v>1</v>
      </c>
      <c r="R54" s="330"/>
      <c r="S54" s="348" t="s">
        <v>290</v>
      </c>
      <c r="T54" s="311">
        <v>0.95</v>
      </c>
      <c r="U54" s="334">
        <v>0</v>
      </c>
      <c r="V54" s="349">
        <v>2022</v>
      </c>
      <c r="W54" s="381">
        <f>SUM(Sankey_diag!N42,Sankey_diag!N43,Sankey_diag!N49,Sankey_diag!N50,Sankey_diag!N53,Sankey_diag!N54)</f>
        <v>74.142934999999994</v>
      </c>
      <c r="X54" s="317" cm="1">
        <f t="array" ref="X54">IF(Y54="",W54,_xlfn.XLOOKUP(Y54,$Y$2:Y53,$AC$2:AC53,W54,0,-1))</f>
        <v>74.142934999999994</v>
      </c>
      <c r="Y54" s="316"/>
      <c r="Z54" s="319">
        <v>0</v>
      </c>
      <c r="AA54" s="375">
        <f t="shared" si="21"/>
        <v>0</v>
      </c>
      <c r="AB54" s="323">
        <f t="shared" ref="AB54" si="23">(T54-U54)*Z54*X54</f>
        <v>0</v>
      </c>
      <c r="AC54" s="323">
        <f t="shared" si="22"/>
        <v>74.142934999999994</v>
      </c>
      <c r="AD54" s="320">
        <f>AA54/Sankey_diag!$H$29</f>
        <v>0</v>
      </c>
      <c r="AE54" s="320">
        <f>AA54/Sankey_diag!$H$62</f>
        <v>0</v>
      </c>
      <c r="AF54" s="320"/>
      <c r="AG54" s="316"/>
      <c r="AH54" s="350"/>
    </row>
    <row r="55" spans="1:34" ht="39" customHeight="1" x14ac:dyDescent="0.3">
      <c r="B55" s="459"/>
      <c r="C55" s="316"/>
      <c r="D55" s="456"/>
      <c r="E55" s="456"/>
      <c r="F55" s="316"/>
      <c r="G55" s="326" t="s">
        <v>291</v>
      </c>
      <c r="H55" s="330" t="s">
        <v>226</v>
      </c>
      <c r="I55" s="330" t="s">
        <v>871</v>
      </c>
      <c r="J55" s="330" t="s">
        <v>41</v>
      </c>
      <c r="K55" s="330">
        <v>2</v>
      </c>
      <c r="L55" s="330" t="s">
        <v>86</v>
      </c>
      <c r="M55" s="330" t="s">
        <v>43</v>
      </c>
      <c r="N55" s="330" t="s">
        <v>43</v>
      </c>
      <c r="O55" s="330" t="s">
        <v>228</v>
      </c>
      <c r="P55" s="330" t="s">
        <v>119</v>
      </c>
      <c r="Q55" s="330"/>
      <c r="R55" s="330"/>
      <c r="S55" s="348" t="s">
        <v>293</v>
      </c>
      <c r="T55" s="313">
        <v>1</v>
      </c>
      <c r="U55" s="335">
        <v>0</v>
      </c>
      <c r="V55" s="349">
        <v>2022</v>
      </c>
      <c r="W55" s="381"/>
      <c r="X55" s="317"/>
      <c r="Y55" s="316"/>
      <c r="Z55" s="319"/>
      <c r="AA55" s="375"/>
      <c r="AB55" s="323"/>
      <c r="AC55" s="323"/>
      <c r="AD55" s="320"/>
      <c r="AE55" s="320"/>
      <c r="AF55" s="320"/>
      <c r="AG55" s="316"/>
      <c r="AH55" s="350"/>
    </row>
    <row r="56" spans="1:34" x14ac:dyDescent="0.3">
      <c r="A56" t="s">
        <v>294</v>
      </c>
      <c r="B56" s="459"/>
      <c r="C56" s="316" t="s">
        <v>223</v>
      </c>
      <c r="D56" s="456"/>
      <c r="E56" s="456" t="s">
        <v>295</v>
      </c>
      <c r="F56" s="316" t="s">
        <v>296</v>
      </c>
      <c r="G56" s="326" t="s">
        <v>297</v>
      </c>
      <c r="H56" s="330" t="s">
        <v>226</v>
      </c>
      <c r="I56" s="330" t="s">
        <v>298</v>
      </c>
      <c r="J56" s="330" t="s">
        <v>41</v>
      </c>
      <c r="K56" s="330">
        <v>4</v>
      </c>
      <c r="L56" s="330" t="s">
        <v>43</v>
      </c>
      <c r="M56" s="330" t="s">
        <v>43</v>
      </c>
      <c r="N56" s="330" t="s">
        <v>43</v>
      </c>
      <c r="O56" s="330" t="str">
        <f>'Etat de lieu - AFOM'!H28</f>
        <v>4.A.1</v>
      </c>
      <c r="P56" s="330" t="s">
        <v>45</v>
      </c>
      <c r="Q56" s="330">
        <v>1</v>
      </c>
      <c r="R56" s="330"/>
      <c r="S56" s="348" t="s">
        <v>299</v>
      </c>
      <c r="T56" s="311">
        <v>0.7</v>
      </c>
      <c r="U56" s="334">
        <v>0</v>
      </c>
      <c r="V56" s="349" t="s">
        <v>300</v>
      </c>
      <c r="W56" s="324">
        <f>SUM(Sankey_diag!N31,Sankey_diag!N38,Sankey_diag!N42)</f>
        <v>551.01667214707652</v>
      </c>
      <c r="X56" s="324">
        <f>W56</f>
        <v>551.01667214707652</v>
      </c>
      <c r="Y56" s="316">
        <v>1</v>
      </c>
      <c r="Z56" s="382">
        <v>0.01</v>
      </c>
      <c r="AA56" s="375">
        <f t="shared" ref="AA56" si="24">(T56-U56)*Z56*W56</f>
        <v>3.8571167050295352</v>
      </c>
      <c r="AB56" s="323">
        <f>(T56-U56)*Z56*X56</f>
        <v>3.8571167050295352</v>
      </c>
      <c r="AC56" s="323">
        <f t="shared" ref="AC56:AC59" si="25">X56-AB56</f>
        <v>547.15955544204701</v>
      </c>
      <c r="AD56" s="320">
        <f>AA56/Sankey_diag!$H$29</f>
        <v>2.5297819034765996E-3</v>
      </c>
      <c r="AE56" s="320">
        <f>AA56/Sankey_diag!$H$62</f>
        <v>1.0495042971397014E-3</v>
      </c>
      <c r="AF56" s="320"/>
      <c r="AG56" s="316"/>
      <c r="AH56" s="350"/>
    </row>
    <row r="57" spans="1:34" ht="49.35" customHeight="1" x14ac:dyDescent="0.3">
      <c r="A57" t="s">
        <v>301</v>
      </c>
      <c r="B57" s="459"/>
      <c r="C57" s="316" t="s">
        <v>223</v>
      </c>
      <c r="D57" s="456"/>
      <c r="E57" s="456"/>
      <c r="F57" s="316" t="s">
        <v>302</v>
      </c>
      <c r="G57" s="326" t="s">
        <v>303</v>
      </c>
      <c r="H57" s="330" t="s">
        <v>226</v>
      </c>
      <c r="I57" s="330" t="s">
        <v>872</v>
      </c>
      <c r="J57" s="330" t="s">
        <v>41</v>
      </c>
      <c r="K57" s="330">
        <v>0</v>
      </c>
      <c r="L57" s="330" t="s">
        <v>111</v>
      </c>
      <c r="M57" s="330" t="s">
        <v>44</v>
      </c>
      <c r="N57" s="330" t="s">
        <v>44</v>
      </c>
      <c r="O57" s="383" t="s">
        <v>305</v>
      </c>
      <c r="P57" s="330" t="s">
        <v>45</v>
      </c>
      <c r="Q57" s="330">
        <v>1</v>
      </c>
      <c r="R57" s="330"/>
      <c r="S57" s="348" t="s">
        <v>306</v>
      </c>
      <c r="T57" s="310">
        <v>2</v>
      </c>
      <c r="U57" s="332">
        <v>0</v>
      </c>
      <c r="V57" s="349">
        <v>2022</v>
      </c>
      <c r="W57" s="324">
        <f>SUM(Sankey_diag!N31,Sankey_diag!N38,Sankey_diag!N42)</f>
        <v>551.01667214707652</v>
      </c>
      <c r="X57" s="324" cm="1">
        <f t="array" ref="X57">IF(Y57="",W57,_xlfn.XLOOKUP(Y57,$Y$2:Y56,$AC$2:AC56,W57,0,-1))</f>
        <v>547.15955544204701</v>
      </c>
      <c r="Y57" s="316">
        <v>1</v>
      </c>
      <c r="Z57" s="319">
        <v>0</v>
      </c>
      <c r="AA57" s="375">
        <f>Z57*W57</f>
        <v>0</v>
      </c>
      <c r="AB57" s="323">
        <f>Z57*X57</f>
        <v>0</v>
      </c>
      <c r="AC57" s="323">
        <f t="shared" si="25"/>
        <v>547.15955544204701</v>
      </c>
      <c r="AD57" s="320">
        <f>AA57/Sankey_diag!$H$29</f>
        <v>0</v>
      </c>
      <c r="AE57" s="320">
        <f>AA57/Sankey_diag!$H$62</f>
        <v>0</v>
      </c>
      <c r="AF57" s="320"/>
      <c r="AG57" s="316"/>
      <c r="AH57" s="350"/>
    </row>
    <row r="58" spans="1:34" ht="58.35" customHeight="1" x14ac:dyDescent="0.3">
      <c r="A58" t="s">
        <v>307</v>
      </c>
      <c r="B58" s="459"/>
      <c r="C58" s="316" t="s">
        <v>223</v>
      </c>
      <c r="D58" s="456"/>
      <c r="E58" s="456"/>
      <c r="F58" s="316" t="s">
        <v>308</v>
      </c>
      <c r="G58" s="326" t="s">
        <v>309</v>
      </c>
      <c r="H58" s="330" t="s">
        <v>226</v>
      </c>
      <c r="I58" s="330" t="s">
        <v>310</v>
      </c>
      <c r="J58" s="330" t="s">
        <v>311</v>
      </c>
      <c r="K58" s="330"/>
      <c r="L58" s="330" t="s">
        <v>43</v>
      </c>
      <c r="M58" s="330" t="s">
        <v>44</v>
      </c>
      <c r="N58" s="330" t="s">
        <v>44</v>
      </c>
      <c r="O58" s="330"/>
      <c r="P58" s="330" t="s">
        <v>45</v>
      </c>
      <c r="Q58" s="330">
        <v>1</v>
      </c>
      <c r="R58" s="330"/>
      <c r="S58" s="348" t="s">
        <v>312</v>
      </c>
      <c r="T58" s="311">
        <v>1</v>
      </c>
      <c r="U58" s="332">
        <v>0</v>
      </c>
      <c r="V58" s="349"/>
      <c r="W58" s="322">
        <f>Sankey_diag!N38*Sankey_diag!P70</f>
        <v>456.12538306497453</v>
      </c>
      <c r="X58" s="317" cm="1">
        <f t="array" ref="X58">IF(Y58="",W58,_xlfn.XLOOKUP(Y58,$Y$2:Y57,$AC$2:AC57,W58,0,-1))</f>
        <v>547.15955544204701</v>
      </c>
      <c r="Y58" s="316">
        <v>1</v>
      </c>
      <c r="Z58" s="319">
        <v>0.01</v>
      </c>
      <c r="AA58" s="375">
        <f>(T58-U58)*Z58*W58</f>
        <v>4.5612538306497452</v>
      </c>
      <c r="AB58" s="323">
        <f>(T58-U58)*Z58*X58</f>
        <v>5.4715955544204702</v>
      </c>
      <c r="AC58" s="323">
        <f t="shared" si="25"/>
        <v>541.68795988762656</v>
      </c>
      <c r="AD58" s="320">
        <f>AA58/Sankey_diag!$H$29</f>
        <v>2.9916070164261949E-3</v>
      </c>
      <c r="AE58" s="320">
        <f>AA58/Sankey_diag!$H$62</f>
        <v>1.2410968766824429E-3</v>
      </c>
      <c r="AF58" s="320"/>
      <c r="AG58" s="316"/>
      <c r="AH58" s="350"/>
    </row>
    <row r="59" spans="1:34" ht="43.2" x14ac:dyDescent="0.3">
      <c r="A59" t="s">
        <v>313</v>
      </c>
      <c r="B59" s="459"/>
      <c r="C59" s="316" t="s">
        <v>268</v>
      </c>
      <c r="D59" s="456"/>
      <c r="E59" s="575" t="s">
        <v>873</v>
      </c>
      <c r="F59" s="316" t="s">
        <v>314</v>
      </c>
      <c r="G59" s="326" t="s">
        <v>874</v>
      </c>
      <c r="H59" s="330" t="s">
        <v>316</v>
      </c>
      <c r="I59" s="330"/>
      <c r="J59" s="330" t="s">
        <v>52</v>
      </c>
      <c r="K59" s="330"/>
      <c r="L59" s="330" t="s">
        <v>111</v>
      </c>
      <c r="M59" s="330" t="s">
        <v>43</v>
      </c>
      <c r="N59" s="330" t="s">
        <v>43</v>
      </c>
      <c r="O59" s="330" t="s">
        <v>124</v>
      </c>
      <c r="P59" s="330" t="s">
        <v>106</v>
      </c>
      <c r="Q59" s="330">
        <v>1</v>
      </c>
      <c r="R59" s="330"/>
      <c r="S59" s="348" t="s">
        <v>317</v>
      </c>
      <c r="T59" s="311">
        <v>0.8</v>
      </c>
      <c r="U59" s="334">
        <v>0.12</v>
      </c>
      <c r="V59" s="349">
        <v>2022</v>
      </c>
      <c r="W59" s="324"/>
      <c r="X59" s="317" cm="1">
        <f t="array" ref="X59">IF(Y59="",W59,_xlfn.XLOOKUP(Y59,$Y$2:Y58,$AC$2:AC58,W59,0,-1))</f>
        <v>0</v>
      </c>
      <c r="Y59" s="316"/>
      <c r="Z59" s="319"/>
      <c r="AA59" s="375">
        <f>(T59-U59)*Z59*W59</f>
        <v>0</v>
      </c>
      <c r="AB59" s="323">
        <f>(T59-U59)*Z59*X59</f>
        <v>0</v>
      </c>
      <c r="AC59" s="323">
        <f t="shared" si="25"/>
        <v>0</v>
      </c>
      <c r="AD59" s="320">
        <f>AA59/Sankey_diag!$H$29</f>
        <v>0</v>
      </c>
      <c r="AE59" s="320">
        <f>AA59/Sankey_diag!$H$62</f>
        <v>0</v>
      </c>
      <c r="AF59" s="320"/>
      <c r="AG59" s="316"/>
      <c r="AH59" s="350"/>
    </row>
    <row r="60" spans="1:34" ht="14.4" customHeight="1" x14ac:dyDescent="0.3">
      <c r="A60" t="s">
        <v>318</v>
      </c>
      <c r="B60" s="459"/>
      <c r="C60" s="316" t="s">
        <v>209</v>
      </c>
      <c r="D60" s="456"/>
      <c r="E60" s="576"/>
      <c r="F60" s="316" t="s">
        <v>319</v>
      </c>
      <c r="G60" s="326" t="s">
        <v>320</v>
      </c>
      <c r="H60" s="330"/>
      <c r="I60" s="330" t="s">
        <v>321</v>
      </c>
      <c r="J60" s="330" t="s">
        <v>140</v>
      </c>
      <c r="K60" s="330"/>
      <c r="L60" s="330" t="s">
        <v>44</v>
      </c>
      <c r="M60" s="330" t="s">
        <v>111</v>
      </c>
      <c r="N60" s="330" t="s">
        <v>44</v>
      </c>
      <c r="O60" s="330"/>
      <c r="P60" s="330" t="s">
        <v>87</v>
      </c>
      <c r="Q60" s="330">
        <v>1</v>
      </c>
      <c r="R60" s="330"/>
      <c r="S60" s="348"/>
      <c r="T60" s="311">
        <v>0.25</v>
      </c>
      <c r="U60" s="332">
        <v>0</v>
      </c>
      <c r="V60" s="349"/>
      <c r="W60" s="322">
        <f>Sankey_diag!K36*5%</f>
        <v>69.405124459165265</v>
      </c>
      <c r="X60" s="317" cm="1">
        <f t="array" ref="X60">IF(Y60="",W60,_xlfn.XLOOKUP(Y60,$Y$2:Y68,$AC$2:AC68,W60,0,-1))</f>
        <v>69.405124459165265</v>
      </c>
      <c r="Y60" s="316"/>
      <c r="Z60" s="316"/>
      <c r="AA60" s="375">
        <f>(T60-U60)*Z60*W60</f>
        <v>0</v>
      </c>
      <c r="AB60" s="384">
        <f>(T60-U60)*Z60*X60</f>
        <v>0</v>
      </c>
      <c r="AC60" s="316">
        <f>X60-AB60</f>
        <v>69.405124459165265</v>
      </c>
      <c r="AD60" s="316"/>
      <c r="AE60" s="320">
        <f>AA60/Sankey_diag!$H$62</f>
        <v>0</v>
      </c>
      <c r="AF60" s="316"/>
      <c r="AG60" s="316"/>
      <c r="AH60" s="350"/>
    </row>
    <row r="61" spans="1:34" x14ac:dyDescent="0.3">
      <c r="A61" t="s">
        <v>322</v>
      </c>
      <c r="B61" s="459"/>
      <c r="C61" s="316" t="s">
        <v>223</v>
      </c>
      <c r="D61" s="456"/>
      <c r="E61" s="576"/>
      <c r="F61" s="316" t="s">
        <v>323</v>
      </c>
      <c r="G61" s="326" t="s">
        <v>324</v>
      </c>
      <c r="H61" s="330"/>
      <c r="I61" s="330" t="s">
        <v>325</v>
      </c>
      <c r="J61" s="330" t="s">
        <v>41</v>
      </c>
      <c r="K61" s="330">
        <v>0</v>
      </c>
      <c r="L61" s="330" t="s">
        <v>43</v>
      </c>
      <c r="M61" s="330" t="s">
        <v>43</v>
      </c>
      <c r="N61" s="330" t="s">
        <v>43</v>
      </c>
      <c r="O61" s="330" t="s">
        <v>245</v>
      </c>
      <c r="P61" s="330" t="s">
        <v>157</v>
      </c>
      <c r="Q61" s="330">
        <v>1</v>
      </c>
      <c r="R61" s="330"/>
      <c r="S61" s="348"/>
      <c r="T61" s="310"/>
      <c r="U61" s="332"/>
      <c r="V61" s="349"/>
      <c r="W61" s="322"/>
      <c r="X61" s="317" cm="1">
        <f t="array" ref="X61">IF(Y61="",W61,_xlfn.XLOOKUP(Y61,$Y$2:Y59,$AC$2:AC59,W61,0,-1))</f>
        <v>0</v>
      </c>
      <c r="Y61" s="316"/>
      <c r="Z61" s="316"/>
      <c r="AA61" s="375">
        <f>(T61-U61)*Z61*W61</f>
        <v>0</v>
      </c>
      <c r="AB61" s="316">
        <f>(T61-U61)*Z61*X61</f>
        <v>0</v>
      </c>
      <c r="AC61" s="316">
        <f>X61-AB61</f>
        <v>0</v>
      </c>
      <c r="AD61" s="316"/>
      <c r="AE61" s="320">
        <f>AA61/Sankey_diag!$H$62</f>
        <v>0</v>
      </c>
      <c r="AF61" s="316"/>
      <c r="AG61" s="316"/>
      <c r="AH61" s="350"/>
    </row>
    <row r="62" spans="1:34" ht="43.2" x14ac:dyDescent="0.3">
      <c r="A62" t="s">
        <v>326</v>
      </c>
      <c r="B62" s="459"/>
      <c r="C62" s="316" t="s">
        <v>268</v>
      </c>
      <c r="D62" s="456"/>
      <c r="E62" s="576"/>
      <c r="F62" s="316" t="s">
        <v>327</v>
      </c>
      <c r="G62" s="326" t="s">
        <v>875</v>
      </c>
      <c r="H62" s="330" t="s">
        <v>316</v>
      </c>
      <c r="I62" s="330" t="s">
        <v>328</v>
      </c>
      <c r="J62" s="330" t="s">
        <v>52</v>
      </c>
      <c r="K62" s="330"/>
      <c r="L62" s="330" t="s">
        <v>111</v>
      </c>
      <c r="M62" s="330" t="s">
        <v>43</v>
      </c>
      <c r="N62" s="330" t="s">
        <v>43</v>
      </c>
      <c r="O62" s="330"/>
      <c r="P62" s="330" t="s">
        <v>106</v>
      </c>
      <c r="Q62" s="330">
        <v>1</v>
      </c>
      <c r="R62" s="330"/>
      <c r="S62" s="348" t="s">
        <v>329</v>
      </c>
      <c r="T62" s="441">
        <v>1</v>
      </c>
      <c r="U62" s="441">
        <v>1</v>
      </c>
      <c r="V62" s="349"/>
      <c r="W62" s="324">
        <f>Sankey_diag!K29</f>
        <v>108.09076719941901</v>
      </c>
      <c r="X62" s="317" cm="1">
        <f t="array" ref="X62">IF(Y62="",W62,_xlfn.XLOOKUP(Y62,$Y$2:Y60,$AC$2:AC60,W62,0,-1))</f>
        <v>108.09076719941901</v>
      </c>
      <c r="Y62" s="316"/>
      <c r="Z62" s="319">
        <v>1</v>
      </c>
      <c r="AA62" s="375">
        <f>(T62-U62)*Z62*W62</f>
        <v>0</v>
      </c>
      <c r="AB62" s="323">
        <v>108</v>
      </c>
      <c r="AC62" s="323">
        <f t="shared" ref="AC62:AC68" si="26">X62-AB62</f>
        <v>9.0767199419005351E-2</v>
      </c>
      <c r="AD62" s="320">
        <f>AA62/Sankey_diag!$H$29</f>
        <v>0</v>
      </c>
      <c r="AE62" s="320">
        <f>AA62/Sankey_diag!$H$62</f>
        <v>0</v>
      </c>
      <c r="AF62" s="320"/>
      <c r="AG62" s="316"/>
      <c r="AH62" s="350"/>
    </row>
    <row r="63" spans="1:34" ht="57.6" x14ac:dyDescent="0.3">
      <c r="B63" s="459"/>
      <c r="C63" s="316"/>
      <c r="D63" s="456"/>
      <c r="E63" s="576"/>
      <c r="F63" s="316"/>
      <c r="G63" s="412" t="s">
        <v>876</v>
      </c>
      <c r="H63" s="330"/>
      <c r="I63" s="330"/>
      <c r="J63" s="330"/>
      <c r="K63" s="330"/>
      <c r="L63" s="330"/>
      <c r="M63" s="330"/>
      <c r="N63" s="330"/>
      <c r="O63" s="330"/>
      <c r="P63" s="330"/>
      <c r="Q63" s="330"/>
      <c r="R63" s="330"/>
      <c r="S63" s="348" t="s">
        <v>877</v>
      </c>
      <c r="T63" s="311">
        <v>0.05</v>
      </c>
      <c r="U63" s="334">
        <v>0</v>
      </c>
      <c r="V63" s="349"/>
      <c r="W63" s="324">
        <f>Sankey_diag!K36</f>
        <v>1388.1024891833051</v>
      </c>
      <c r="X63" s="317" cm="1">
        <f t="array" ref="X63">IF(Y63="",W63,_xlfn.XLOOKUP(Y63,$Y$2:Y62,$AC$2:AC62,W63,0,-1))</f>
        <v>1388.1024891833051</v>
      </c>
      <c r="Y63" s="316"/>
      <c r="Z63" s="319">
        <v>0.47</v>
      </c>
      <c r="AA63" s="375">
        <f t="shared" ref="AA63" si="27">(T63-U63)*Z63*W63</f>
        <v>32.620408495807673</v>
      </c>
      <c r="AB63" s="323"/>
      <c r="AC63" s="323"/>
      <c r="AD63" s="320"/>
      <c r="AE63" s="320"/>
      <c r="AF63" s="320"/>
      <c r="AG63" s="316"/>
      <c r="AH63" s="350"/>
    </row>
    <row r="64" spans="1:34" ht="72.599999999999994" customHeight="1" x14ac:dyDescent="0.3">
      <c r="B64" s="459"/>
      <c r="C64" s="316"/>
      <c r="D64" s="456"/>
      <c r="E64" s="576"/>
      <c r="F64" s="316"/>
      <c r="G64" s="412" t="s">
        <v>878</v>
      </c>
      <c r="H64" s="330"/>
      <c r="I64" s="330"/>
      <c r="J64" s="330"/>
      <c r="K64" s="330"/>
      <c r="L64" s="330"/>
      <c r="M64" s="330"/>
      <c r="N64" s="330"/>
      <c r="O64" s="330"/>
      <c r="P64" s="330"/>
      <c r="Q64" s="330"/>
      <c r="R64" s="330"/>
      <c r="S64" s="348" t="s">
        <v>879</v>
      </c>
      <c r="T64" s="311">
        <v>0.1</v>
      </c>
      <c r="U64" s="334">
        <v>0</v>
      </c>
      <c r="V64" s="349"/>
      <c r="W64" s="324">
        <f>Sankey_diag!K36</f>
        <v>1388.1024891833051</v>
      </c>
      <c r="X64" s="317" cm="1">
        <f t="array" ref="X64">IF(Y64="",W64,_xlfn.XLOOKUP(Y64,$Y$2:Y63,$AC$2:AC63,W64,0,-1))</f>
        <v>1388.1024891833051</v>
      </c>
      <c r="Y64" s="316"/>
      <c r="Z64" s="319">
        <v>0.47</v>
      </c>
      <c r="AA64" s="375">
        <f t="shared" ref="AA64:AA65" si="28">(T64-U64)*Z64*W64</f>
        <v>65.240816991615347</v>
      </c>
      <c r="AB64" s="323"/>
      <c r="AC64" s="323"/>
      <c r="AD64" s="320"/>
      <c r="AE64" s="320"/>
      <c r="AF64" s="320"/>
      <c r="AG64" s="316"/>
      <c r="AH64" s="350"/>
    </row>
    <row r="65" spans="1:34" ht="47.1" customHeight="1" x14ac:dyDescent="0.3">
      <c r="B65" s="459"/>
      <c r="C65" s="316"/>
      <c r="D65" s="456"/>
      <c r="E65" s="573"/>
      <c r="F65" s="316"/>
      <c r="G65" s="412" t="s">
        <v>880</v>
      </c>
      <c r="H65" s="330"/>
      <c r="I65" s="330"/>
      <c r="J65" s="330"/>
      <c r="K65" s="330"/>
      <c r="L65" s="330"/>
      <c r="M65" s="330"/>
      <c r="N65" s="330"/>
      <c r="O65" s="330"/>
      <c r="P65" s="330"/>
      <c r="Q65" s="330"/>
      <c r="R65" s="330"/>
      <c r="S65" s="348" t="s">
        <v>881</v>
      </c>
      <c r="T65" s="395">
        <v>0</v>
      </c>
      <c r="U65" s="334">
        <v>0</v>
      </c>
      <c r="V65" s="349"/>
      <c r="W65" s="324">
        <f>Sankey_diag!K36</f>
        <v>1388.1024891833051</v>
      </c>
      <c r="X65" s="317" cm="1">
        <f t="array" ref="X65">IF(Y65="",W65,_xlfn.XLOOKUP(Y65,$Y$2:Y64,$AC$2:AC64,W65,0,-1))</f>
        <v>1388.1024891833051</v>
      </c>
      <c r="Y65" s="316"/>
      <c r="Z65" s="319">
        <v>0.81803278688524605</v>
      </c>
      <c r="AA65" s="375">
        <f t="shared" si="28"/>
        <v>0</v>
      </c>
      <c r="AB65" s="323"/>
      <c r="AC65" s="323"/>
      <c r="AD65" s="320"/>
      <c r="AE65" s="320"/>
      <c r="AF65" s="320"/>
      <c r="AG65" s="316"/>
      <c r="AH65" s="350"/>
    </row>
    <row r="66" spans="1:34" ht="36" customHeight="1" x14ac:dyDescent="0.3">
      <c r="A66" t="s">
        <v>330</v>
      </c>
      <c r="B66" s="459"/>
      <c r="C66" s="316" t="s">
        <v>223</v>
      </c>
      <c r="D66" s="456"/>
      <c r="E66" s="456" t="s">
        <v>882</v>
      </c>
      <c r="F66" s="316" t="s">
        <v>331</v>
      </c>
      <c r="G66" s="326" t="s">
        <v>332</v>
      </c>
      <c r="H66" s="330" t="s">
        <v>213</v>
      </c>
      <c r="I66" s="330" t="s">
        <v>333</v>
      </c>
      <c r="J66" s="330" t="s">
        <v>41</v>
      </c>
      <c r="K66" s="330">
        <v>0</v>
      </c>
      <c r="L66" s="330" t="s">
        <v>44</v>
      </c>
      <c r="M66" s="330" t="s">
        <v>43</v>
      </c>
      <c r="N66" s="330" t="s">
        <v>43</v>
      </c>
      <c r="O66" s="330" t="s">
        <v>251</v>
      </c>
      <c r="P66" s="330" t="s">
        <v>45</v>
      </c>
      <c r="Q66" s="330">
        <v>1</v>
      </c>
      <c r="R66" s="330"/>
      <c r="S66" s="348" t="s">
        <v>334</v>
      </c>
      <c r="T66" s="311">
        <v>0.75</v>
      </c>
      <c r="U66" s="332"/>
      <c r="V66" s="349">
        <v>2022</v>
      </c>
      <c r="W66" s="322"/>
      <c r="X66" s="317" cm="1">
        <f t="array" ref="X66">IF(Y66="",W66,_xlfn.XLOOKUP(Y66,$Y$2:Y62,$AC$2:AC62,W66,0,-1))</f>
        <v>0</v>
      </c>
      <c r="Y66" s="316"/>
      <c r="Z66" s="316"/>
      <c r="AA66" s="375">
        <f>(T66-U66)*Z66*W66</f>
        <v>0</v>
      </c>
      <c r="AB66" s="323">
        <f>(T66-U66)*Z66*X66</f>
        <v>0</v>
      </c>
      <c r="AC66" s="323">
        <f t="shared" si="26"/>
        <v>0</v>
      </c>
      <c r="AD66" s="320">
        <f>AA66/Sankey_diag!$H$29</f>
        <v>0</v>
      </c>
      <c r="AE66" s="320">
        <f>AA66/Sankey_diag!$H$62</f>
        <v>0</v>
      </c>
      <c r="AF66" s="324">
        <f>5*AE66</f>
        <v>0</v>
      </c>
      <c r="AG66" s="316"/>
      <c r="AH66" s="350"/>
    </row>
    <row r="67" spans="1:34" ht="70.349999999999994" customHeight="1" x14ac:dyDescent="0.3">
      <c r="A67" t="s">
        <v>335</v>
      </c>
      <c r="B67" s="459"/>
      <c r="C67" s="316" t="s">
        <v>223</v>
      </c>
      <c r="D67" s="456"/>
      <c r="E67" s="456"/>
      <c r="F67" s="316" t="s">
        <v>336</v>
      </c>
      <c r="G67" s="326" t="s">
        <v>883</v>
      </c>
      <c r="H67" s="330" t="s">
        <v>213</v>
      </c>
      <c r="I67" s="330" t="s">
        <v>338</v>
      </c>
      <c r="J67" s="330" t="s">
        <v>41</v>
      </c>
      <c r="K67" s="330">
        <v>0</v>
      </c>
      <c r="L67" s="330" t="s">
        <v>44</v>
      </c>
      <c r="M67" s="330" t="s">
        <v>111</v>
      </c>
      <c r="N67" s="330" t="s">
        <v>44</v>
      </c>
      <c r="O67" s="330"/>
      <c r="P67" s="330" t="s">
        <v>119</v>
      </c>
      <c r="Q67" s="330">
        <v>1</v>
      </c>
      <c r="R67" s="330"/>
      <c r="S67" s="348" t="s">
        <v>884</v>
      </c>
      <c r="T67" s="311">
        <f>2/5*75%</f>
        <v>0.30000000000000004</v>
      </c>
      <c r="U67" s="332">
        <v>0</v>
      </c>
      <c r="V67" s="349"/>
      <c r="W67" s="322">
        <v>160</v>
      </c>
      <c r="X67" s="317" cm="1">
        <f t="array" ref="X67">IF(Y67="",W67,_xlfn.XLOOKUP(Y67,$Y$2:Y66,$AC$2:AC66,W67,0,-1))</f>
        <v>160</v>
      </c>
      <c r="Y67" s="316">
        <v>4</v>
      </c>
      <c r="Z67" s="319">
        <v>1</v>
      </c>
      <c r="AA67" s="375">
        <f>(T67-U67)*Z67*W67</f>
        <v>48.000000000000007</v>
      </c>
      <c r="AB67" s="323">
        <f>(T67-U67)*Z67*X67</f>
        <v>48.000000000000007</v>
      </c>
      <c r="AC67" s="323">
        <f t="shared" si="26"/>
        <v>112</v>
      </c>
      <c r="AD67" s="320">
        <f>AA67/Sankey_diag!$H$29</f>
        <v>3.1481943807543405E-2</v>
      </c>
      <c r="AE67" s="320">
        <f>AA67/Sankey_diag!$H$62</f>
        <v>1.3060586473055637E-2</v>
      </c>
      <c r="AF67" s="324">
        <f>5*AE67</f>
        <v>6.5302932365278191E-2</v>
      </c>
      <c r="AG67" s="316"/>
      <c r="AH67" s="350"/>
    </row>
    <row r="68" spans="1:34" ht="29.4" thickBot="1" x14ac:dyDescent="0.35">
      <c r="A68" t="s">
        <v>340</v>
      </c>
      <c r="B68" s="460"/>
      <c r="C68" s="351" t="s">
        <v>223</v>
      </c>
      <c r="D68" s="457"/>
      <c r="E68" s="457"/>
      <c r="F68" s="351" t="s">
        <v>341</v>
      </c>
      <c r="G68" s="353" t="s">
        <v>342</v>
      </c>
      <c r="H68" s="354" t="s">
        <v>213</v>
      </c>
      <c r="I68" s="354" t="s">
        <v>885</v>
      </c>
      <c r="J68" s="354" t="s">
        <v>41</v>
      </c>
      <c r="K68" s="354">
        <v>2</v>
      </c>
      <c r="L68" s="354" t="s">
        <v>44</v>
      </c>
      <c r="M68" s="354" t="s">
        <v>43</v>
      </c>
      <c r="N68" s="354" t="s">
        <v>44</v>
      </c>
      <c r="O68" s="354" t="s">
        <v>245</v>
      </c>
      <c r="P68" s="354" t="s">
        <v>119</v>
      </c>
      <c r="Q68" s="354">
        <v>1</v>
      </c>
      <c r="R68" s="354"/>
      <c r="S68" s="356" t="s">
        <v>344</v>
      </c>
      <c r="T68" s="357">
        <f>1/4*60%</f>
        <v>0.15</v>
      </c>
      <c r="U68" s="358">
        <v>0</v>
      </c>
      <c r="V68" s="359"/>
      <c r="W68" s="368">
        <f>W67</f>
        <v>160</v>
      </c>
      <c r="X68" s="361" cm="1">
        <f t="array" ref="X68">IF(Y68="",W68,_xlfn.XLOOKUP(Y68,$Y$2:Y67,$AC$2:AC67,W68,0,-1))</f>
        <v>112</v>
      </c>
      <c r="Y68" s="351">
        <v>4</v>
      </c>
      <c r="Z68" s="369">
        <v>0.2</v>
      </c>
      <c r="AA68" s="376">
        <f>(T68-U68)*Z68*W68</f>
        <v>4.8</v>
      </c>
      <c r="AB68" s="385">
        <f>(T68-U68)*Z68*X68</f>
        <v>3.36</v>
      </c>
      <c r="AC68" s="385">
        <f t="shared" si="26"/>
        <v>108.64</v>
      </c>
      <c r="AD68" s="362">
        <f>AA68/Sankey_diag!$H$29</f>
        <v>3.1481943807543399E-3</v>
      </c>
      <c r="AE68" s="362">
        <f>AA68/Sankey_diag!$H$62</f>
        <v>1.3060586473055634E-3</v>
      </c>
      <c r="AF68" s="360">
        <f>5*AE68</f>
        <v>6.5302932365278177E-3</v>
      </c>
      <c r="AG68" s="351"/>
      <c r="AH68" s="363"/>
    </row>
    <row r="69" spans="1:34" ht="63.15" customHeight="1" thickTop="1" x14ac:dyDescent="0.3">
      <c r="A69" t="s">
        <v>345</v>
      </c>
      <c r="B69" s="458" t="s">
        <v>346</v>
      </c>
      <c r="C69" s="336" t="s">
        <v>346</v>
      </c>
      <c r="D69" s="455" t="s">
        <v>886</v>
      </c>
      <c r="E69" s="337" t="s">
        <v>347</v>
      </c>
      <c r="F69" s="336" t="s">
        <v>348</v>
      </c>
      <c r="G69" s="338" t="s">
        <v>349</v>
      </c>
      <c r="H69" s="339"/>
      <c r="I69" s="339"/>
      <c r="J69" s="339" t="s">
        <v>41</v>
      </c>
      <c r="K69" s="339">
        <v>1</v>
      </c>
      <c r="L69" s="339" t="s">
        <v>86</v>
      </c>
      <c r="M69" s="339" t="s">
        <v>111</v>
      </c>
      <c r="N69" s="339" t="s">
        <v>111</v>
      </c>
      <c r="O69" s="339" t="s">
        <v>350</v>
      </c>
      <c r="P69" s="339" t="s">
        <v>45</v>
      </c>
      <c r="Q69" s="339"/>
      <c r="R69" s="339"/>
      <c r="S69" s="340" t="s">
        <v>351</v>
      </c>
      <c r="T69" s="341">
        <v>1</v>
      </c>
      <c r="U69" s="342"/>
      <c r="V69" s="343"/>
      <c r="W69" s="344"/>
      <c r="X69" s="345"/>
      <c r="Y69" s="336"/>
      <c r="Z69" s="336"/>
      <c r="AA69" s="374"/>
      <c r="AB69" s="336"/>
      <c r="AC69" s="336"/>
      <c r="AD69" s="336"/>
      <c r="AE69" s="346">
        <f>AA69/Sankey_diag!$H$62</f>
        <v>0</v>
      </c>
      <c r="AF69" s="336"/>
      <c r="AG69" s="336"/>
      <c r="AH69" s="347"/>
    </row>
    <row r="70" spans="1:34" ht="43.2" x14ac:dyDescent="0.3">
      <c r="A70" t="s">
        <v>352</v>
      </c>
      <c r="B70" s="459"/>
      <c r="C70" s="316" t="s">
        <v>346</v>
      </c>
      <c r="D70" s="456"/>
      <c r="E70" s="315" t="s">
        <v>353</v>
      </c>
      <c r="F70" s="316" t="s">
        <v>354</v>
      </c>
      <c r="G70" s="326" t="s">
        <v>354</v>
      </c>
      <c r="H70" s="330"/>
      <c r="I70" s="330"/>
      <c r="J70" s="330" t="s">
        <v>41</v>
      </c>
      <c r="K70" s="330">
        <v>2</v>
      </c>
      <c r="L70" s="330" t="s">
        <v>42</v>
      </c>
      <c r="M70" s="330" t="s">
        <v>43</v>
      </c>
      <c r="N70" s="330" t="s">
        <v>44</v>
      </c>
      <c r="O70" s="330"/>
      <c r="P70" s="330" t="s">
        <v>119</v>
      </c>
      <c r="Q70" s="330"/>
      <c r="R70" s="330"/>
      <c r="S70" s="348" t="s">
        <v>2912</v>
      </c>
      <c r="T70" s="311">
        <v>0.7</v>
      </c>
      <c r="U70" s="332">
        <v>0</v>
      </c>
      <c r="V70" s="349"/>
      <c r="W70" s="322"/>
      <c r="X70" s="317"/>
      <c r="Y70" s="316"/>
      <c r="Z70" s="316"/>
      <c r="AA70" s="375"/>
      <c r="AB70" s="316"/>
      <c r="AC70" s="316"/>
      <c r="AD70" s="316"/>
      <c r="AE70" s="320">
        <f>AA70/Sankey_diag!$H$62</f>
        <v>0</v>
      </c>
      <c r="AF70" s="316"/>
      <c r="AG70" s="316" t="s">
        <v>356</v>
      </c>
      <c r="AH70" s="350" t="s">
        <v>77</v>
      </c>
    </row>
    <row r="71" spans="1:34" x14ac:dyDescent="0.3">
      <c r="A71" t="s">
        <v>357</v>
      </c>
      <c r="B71" s="459"/>
      <c r="C71" s="316" t="s">
        <v>346</v>
      </c>
      <c r="D71" s="456"/>
      <c r="E71" s="456" t="s">
        <v>358</v>
      </c>
      <c r="F71" s="316" t="s">
        <v>359</v>
      </c>
      <c r="G71" s="326" t="s">
        <v>359</v>
      </c>
      <c r="H71" s="330"/>
      <c r="I71" s="330" t="s">
        <v>887</v>
      </c>
      <c r="J71" s="330" t="s">
        <v>41</v>
      </c>
      <c r="K71" s="330">
        <v>0</v>
      </c>
      <c r="L71" s="330" t="s">
        <v>53</v>
      </c>
      <c r="M71" s="330" t="s">
        <v>44</v>
      </c>
      <c r="N71" s="330" t="s">
        <v>44</v>
      </c>
      <c r="O71" s="330"/>
      <c r="P71" s="330" t="s">
        <v>45</v>
      </c>
      <c r="Q71" s="330"/>
      <c r="R71" s="330"/>
      <c r="S71" s="348" t="s">
        <v>360</v>
      </c>
      <c r="T71" s="311">
        <v>0.75</v>
      </c>
      <c r="U71" s="332"/>
      <c r="V71" s="349"/>
      <c r="W71" s="322">
        <f>Sankey_diag!N50</f>
        <v>2.5190640000000002</v>
      </c>
      <c r="X71" s="317" cm="1">
        <f t="array" ref="X71">IF(Y71="",W71,_xlfn.XLOOKUP(Y71,$Y$2:Y70,$AC$2:AC70,W71,0,-1))</f>
        <v>2.5190640000000002</v>
      </c>
      <c r="Y71" s="316"/>
      <c r="Z71" s="386">
        <v>1E-4</v>
      </c>
      <c r="AA71" s="375">
        <f t="shared" ref="AA71" si="29">(T71-U71)*Z71*W71</f>
        <v>1.8892980000000004E-4</v>
      </c>
      <c r="AB71" s="316">
        <f t="shared" ref="AB71" si="30">(T71-U71)*Z71*X71</f>
        <v>1.8892980000000004E-4</v>
      </c>
      <c r="AC71" s="316">
        <f t="shared" ref="AC71" si="31">X71-AB71</f>
        <v>2.5188750702</v>
      </c>
      <c r="AD71" s="316"/>
      <c r="AE71" s="320">
        <f>AA71/Sankey_diag!$H$62</f>
        <v>5.1406958129939729E-8</v>
      </c>
      <c r="AF71" s="316"/>
      <c r="AG71" s="316" t="s">
        <v>77</v>
      </c>
      <c r="AH71" s="350" t="s">
        <v>361</v>
      </c>
    </row>
    <row r="72" spans="1:34" x14ac:dyDescent="0.3">
      <c r="A72" t="s">
        <v>362</v>
      </c>
      <c r="B72" s="459"/>
      <c r="C72" s="316" t="s">
        <v>346</v>
      </c>
      <c r="D72" s="456"/>
      <c r="E72" s="456"/>
      <c r="F72" s="316" t="s">
        <v>363</v>
      </c>
      <c r="G72" s="326" t="s">
        <v>364</v>
      </c>
      <c r="H72" s="330"/>
      <c r="I72" s="330" t="s">
        <v>365</v>
      </c>
      <c r="J72" s="330" t="s">
        <v>41</v>
      </c>
      <c r="K72" s="330">
        <v>0</v>
      </c>
      <c r="L72" s="330" t="s">
        <v>53</v>
      </c>
      <c r="M72" s="330" t="s">
        <v>44</v>
      </c>
      <c r="N72" s="330" t="s">
        <v>44</v>
      </c>
      <c r="O72" s="330"/>
      <c r="P72" s="330" t="s">
        <v>45</v>
      </c>
      <c r="Q72" s="330"/>
      <c r="R72" s="330"/>
      <c r="S72" s="348" t="s">
        <v>366</v>
      </c>
      <c r="T72" s="310">
        <v>1</v>
      </c>
      <c r="U72" s="332">
        <v>0</v>
      </c>
      <c r="V72" s="349"/>
      <c r="W72" s="322"/>
      <c r="X72" s="317"/>
      <c r="Y72" s="316"/>
      <c r="Z72" s="316"/>
      <c r="AA72" s="375"/>
      <c r="AB72" s="316"/>
      <c r="AC72" s="316"/>
      <c r="AD72" s="316"/>
      <c r="AE72" s="320">
        <f>AA72/Sankey_diag!$H$62</f>
        <v>0</v>
      </c>
      <c r="AF72" s="316"/>
      <c r="AG72" s="316" t="s">
        <v>367</v>
      </c>
      <c r="AH72" s="350" t="s">
        <v>368</v>
      </c>
    </row>
    <row r="73" spans="1:34" ht="57.6" x14ac:dyDescent="0.3">
      <c r="A73" t="s">
        <v>369</v>
      </c>
      <c r="B73" s="459"/>
      <c r="C73" s="316" t="s">
        <v>346</v>
      </c>
      <c r="D73" s="456"/>
      <c r="E73" s="456"/>
      <c r="F73" s="316" t="s">
        <v>370</v>
      </c>
      <c r="G73" s="326" t="s">
        <v>371</v>
      </c>
      <c r="H73" s="330"/>
      <c r="I73" s="330" t="s">
        <v>372</v>
      </c>
      <c r="J73" s="330" t="s">
        <v>140</v>
      </c>
      <c r="K73" s="330"/>
      <c r="L73" s="330" t="s">
        <v>42</v>
      </c>
      <c r="M73" s="330" t="s">
        <v>43</v>
      </c>
      <c r="N73" s="330" t="s">
        <v>44</v>
      </c>
      <c r="O73" s="330"/>
      <c r="P73" s="330" t="s">
        <v>106</v>
      </c>
      <c r="Q73" s="330"/>
      <c r="R73" s="330"/>
      <c r="S73" s="348" t="s">
        <v>373</v>
      </c>
      <c r="T73" s="311">
        <v>0.9</v>
      </c>
      <c r="U73" s="332">
        <v>0</v>
      </c>
      <c r="V73" s="349"/>
      <c r="W73" s="322">
        <f>Sankey_diag!K51+Sankey_diag!N52</f>
        <v>17.560000000000002</v>
      </c>
      <c r="X73" s="317" cm="1">
        <f t="array" ref="X73">IF(Y73="",W73,_xlfn.XLOOKUP(Y73,$Y$2:Y72,$AC$2:AC72,W73,0,-1))</f>
        <v>17.560000000000002</v>
      </c>
      <c r="Y73" s="316">
        <v>12</v>
      </c>
      <c r="Z73" s="319">
        <v>1</v>
      </c>
      <c r="AA73" s="375">
        <f t="shared" ref="AA73" si="32">(T73-U73)*Z73*W73</f>
        <v>15.804000000000002</v>
      </c>
      <c r="AB73" s="316">
        <f t="shared" ref="AB73" si="33">(T73-U73)*Z73*X73</f>
        <v>15.804000000000002</v>
      </c>
      <c r="AC73" s="316">
        <f t="shared" ref="AC73:AC74" si="34">X73-AB73</f>
        <v>1.7560000000000002</v>
      </c>
      <c r="AD73" s="316"/>
      <c r="AE73" s="320">
        <f>AA73/Sankey_diag!$H$62</f>
        <v>4.3001980962535684E-3</v>
      </c>
      <c r="AF73" s="316"/>
      <c r="AG73" s="330" t="s">
        <v>374</v>
      </c>
      <c r="AH73" s="350" t="s">
        <v>60</v>
      </c>
    </row>
    <row r="74" spans="1:34" ht="28.8" x14ac:dyDescent="0.3">
      <c r="A74" t="s">
        <v>375</v>
      </c>
      <c r="B74" s="459"/>
      <c r="C74" s="316" t="s">
        <v>346</v>
      </c>
      <c r="D74" s="456"/>
      <c r="E74" s="456"/>
      <c r="F74" s="316" t="s">
        <v>376</v>
      </c>
      <c r="G74" s="326" t="s">
        <v>376</v>
      </c>
      <c r="H74" s="330"/>
      <c r="I74" s="330" t="s">
        <v>377</v>
      </c>
      <c r="J74" s="330" t="s">
        <v>41</v>
      </c>
      <c r="K74" s="330">
        <v>1</v>
      </c>
      <c r="L74" s="330" t="s">
        <v>53</v>
      </c>
      <c r="M74" s="330" t="s">
        <v>44</v>
      </c>
      <c r="N74" s="330" t="s">
        <v>44</v>
      </c>
      <c r="O74" s="330"/>
      <c r="P74" s="330" t="s">
        <v>106</v>
      </c>
      <c r="Q74" s="330"/>
      <c r="R74" s="330"/>
      <c r="S74" s="348" t="s">
        <v>378</v>
      </c>
      <c r="T74" s="314">
        <v>0.05</v>
      </c>
      <c r="U74" s="332">
        <v>0</v>
      </c>
      <c r="V74" s="349"/>
      <c r="W74" s="322">
        <f>Sankey_diag!N52</f>
        <v>7.73</v>
      </c>
      <c r="X74" s="317" cm="1">
        <f t="array" ref="X74">IF(Y74="",W74,_xlfn.XLOOKUP(Y74,$Y$2:Y71,$AC$2:AC71,W74,0,-1))</f>
        <v>7.73</v>
      </c>
      <c r="Y74" s="316">
        <v>12</v>
      </c>
      <c r="Z74" s="387">
        <v>1</v>
      </c>
      <c r="AA74" s="375">
        <f>(T74-U74)*Z74*W74</f>
        <v>0.38650000000000007</v>
      </c>
      <c r="AB74" s="316">
        <f>(T74-U74)*Z74*X74</f>
        <v>0.38650000000000007</v>
      </c>
      <c r="AC74" s="316">
        <f t="shared" si="34"/>
        <v>7.3435000000000006</v>
      </c>
      <c r="AD74" s="316"/>
      <c r="AE74" s="320">
        <f>AA74/Sankey_diag!$H$62</f>
        <v>1.0516493066325008E-4</v>
      </c>
      <c r="AF74" s="316"/>
      <c r="AG74" s="316" t="s">
        <v>77</v>
      </c>
      <c r="AH74" s="350" t="s">
        <v>379</v>
      </c>
    </row>
    <row r="75" spans="1:34" ht="28.8" x14ac:dyDescent="0.3">
      <c r="A75" t="s">
        <v>380</v>
      </c>
      <c r="B75" s="459"/>
      <c r="C75" s="316" t="s">
        <v>346</v>
      </c>
      <c r="D75" s="456"/>
      <c r="E75" s="456"/>
      <c r="F75" s="316" t="s">
        <v>381</v>
      </c>
      <c r="G75" s="326" t="s">
        <v>382</v>
      </c>
      <c r="H75" s="330"/>
      <c r="I75" s="330" t="s">
        <v>888</v>
      </c>
      <c r="J75" s="330" t="s">
        <v>41</v>
      </c>
      <c r="K75" s="330">
        <v>0</v>
      </c>
      <c r="L75" s="330" t="s">
        <v>42</v>
      </c>
      <c r="M75" s="330" t="s">
        <v>43</v>
      </c>
      <c r="N75" s="330" t="s">
        <v>44</v>
      </c>
      <c r="O75" s="330"/>
      <c r="P75" s="330" t="s">
        <v>45</v>
      </c>
      <c r="Q75" s="330"/>
      <c r="R75" s="330"/>
      <c r="S75" s="348" t="s">
        <v>889</v>
      </c>
      <c r="T75" s="311">
        <v>1</v>
      </c>
      <c r="U75" s="332"/>
      <c r="V75" s="349"/>
      <c r="W75" s="322">
        <f>((10*52/3*(3*0.3+2*0.5)*220)/116000)*Sankey_diag!K48</f>
        <v>15.599935944367816</v>
      </c>
      <c r="X75" s="317"/>
      <c r="Y75" s="316"/>
      <c r="Z75" s="380">
        <v>0.3</v>
      </c>
      <c r="AA75" s="375">
        <f>Z75*T75*W75</f>
        <v>4.6799807833103451</v>
      </c>
      <c r="AB75" s="316"/>
      <c r="AC75" s="316"/>
      <c r="AD75" s="316"/>
      <c r="AE75" s="320">
        <f>AA75/Sankey_diag!$H$62</f>
        <v>1.2734019523471542E-3</v>
      </c>
      <c r="AF75" s="316"/>
      <c r="AG75" s="316" t="s">
        <v>384</v>
      </c>
      <c r="AH75" s="350"/>
    </row>
    <row r="76" spans="1:34" x14ac:dyDescent="0.3">
      <c r="A76" t="s">
        <v>385</v>
      </c>
      <c r="B76" s="459"/>
      <c r="C76" s="316" t="s">
        <v>346</v>
      </c>
      <c r="D76" s="456"/>
      <c r="E76" s="456"/>
      <c r="F76" s="316" t="s">
        <v>386</v>
      </c>
      <c r="G76" s="326" t="s">
        <v>2617</v>
      </c>
      <c r="H76" s="330"/>
      <c r="I76" s="330"/>
      <c r="J76" s="330" t="s">
        <v>41</v>
      </c>
      <c r="K76" s="330">
        <v>0</v>
      </c>
      <c r="L76" s="330" t="s">
        <v>86</v>
      </c>
      <c r="M76" s="330" t="s">
        <v>44</v>
      </c>
      <c r="N76" s="330" t="s">
        <v>44</v>
      </c>
      <c r="O76" s="330"/>
      <c r="P76" s="330" t="s">
        <v>45</v>
      </c>
      <c r="Q76" s="330"/>
      <c r="R76" s="330"/>
      <c r="S76" s="348" t="s">
        <v>388</v>
      </c>
      <c r="T76" s="311">
        <v>0.75</v>
      </c>
      <c r="U76" s="332"/>
      <c r="V76" s="349"/>
      <c r="W76" s="322"/>
      <c r="X76" s="317"/>
      <c r="Y76" s="316"/>
      <c r="Z76" s="319"/>
      <c r="AA76" s="375">
        <f>Z76*T76*W76</f>
        <v>0</v>
      </c>
      <c r="AB76" s="316"/>
      <c r="AC76" s="316"/>
      <c r="AD76" s="316"/>
      <c r="AE76" s="320">
        <f>AA76/Sankey_diag!$H$62</f>
        <v>0</v>
      </c>
      <c r="AF76" s="316"/>
      <c r="AG76" s="316" t="s">
        <v>389</v>
      </c>
      <c r="AH76" s="350" t="s">
        <v>77</v>
      </c>
    </row>
    <row r="77" spans="1:34" ht="28.8" x14ac:dyDescent="0.3">
      <c r="A77" t="s">
        <v>390</v>
      </c>
      <c r="B77" s="459"/>
      <c r="C77" s="316" t="s">
        <v>346</v>
      </c>
      <c r="D77" s="456"/>
      <c r="E77" s="456"/>
      <c r="F77" s="316" t="s">
        <v>391</v>
      </c>
      <c r="G77" s="326" t="s">
        <v>392</v>
      </c>
      <c r="H77" s="330"/>
      <c r="I77" s="330"/>
      <c r="J77" s="330" t="s">
        <v>41</v>
      </c>
      <c r="K77" s="330">
        <v>0</v>
      </c>
      <c r="L77" s="330" t="s">
        <v>42</v>
      </c>
      <c r="M77" s="330" t="s">
        <v>43</v>
      </c>
      <c r="N77" s="330" t="s">
        <v>44</v>
      </c>
      <c r="O77" s="330" t="s">
        <v>393</v>
      </c>
      <c r="P77" s="330" t="s">
        <v>45</v>
      </c>
      <c r="Q77" s="330"/>
      <c r="R77" s="330"/>
      <c r="S77" s="348" t="s">
        <v>394</v>
      </c>
      <c r="T77" s="311">
        <v>1</v>
      </c>
      <c r="U77" s="332"/>
      <c r="V77" s="349"/>
      <c r="W77" s="322">
        <f>Sankey_diag!N48</f>
        <v>16.09995</v>
      </c>
      <c r="X77" s="317" cm="1">
        <f t="array" ref="X77">IF(Y77="",W77,_xlfn.XLOOKUP(Y77,$Y$2:Y76,$AC$2:AC76,W77,0,-1))</f>
        <v>16.09995</v>
      </c>
      <c r="Y77" s="316"/>
      <c r="Z77" s="319">
        <v>0.4</v>
      </c>
      <c r="AA77" s="375">
        <f t="shared" ref="AA77:AA81" si="35">(T77-U77)*Z77*W77</f>
        <v>6.4399800000000003</v>
      </c>
      <c r="AB77" s="316">
        <f t="shared" ref="AB77:AB81" si="36">(T77-U77)*Z77*X77</f>
        <v>6.4399800000000003</v>
      </c>
      <c r="AC77" s="316">
        <f t="shared" ref="AC77:AC81" si="37">X77-AB77</f>
        <v>9.6599699999999995</v>
      </c>
      <c r="AD77" s="316"/>
      <c r="AE77" s="320">
        <f>AA77/Sankey_diag!$H$62</f>
        <v>1.7522899098906006E-3</v>
      </c>
      <c r="AF77" s="316"/>
      <c r="AG77" s="316" t="s">
        <v>395</v>
      </c>
      <c r="AH77" s="350"/>
    </row>
    <row r="78" spans="1:34" ht="57.6" x14ac:dyDescent="0.3">
      <c r="B78" s="459"/>
      <c r="C78" s="316"/>
      <c r="D78" s="456"/>
      <c r="E78" s="456"/>
      <c r="F78" s="316"/>
      <c r="G78" s="326" t="s">
        <v>890</v>
      </c>
      <c r="H78" s="330"/>
      <c r="I78" s="330"/>
      <c r="J78" s="330"/>
      <c r="K78" s="330"/>
      <c r="L78" s="330"/>
      <c r="M78" s="330"/>
      <c r="N78" s="330"/>
      <c r="O78" s="330"/>
      <c r="P78" s="330"/>
      <c r="Q78" s="330"/>
      <c r="R78" s="330"/>
      <c r="S78" s="348" t="s">
        <v>891</v>
      </c>
      <c r="T78" s="413">
        <v>1</v>
      </c>
      <c r="U78" s="332">
        <v>0</v>
      </c>
      <c r="V78" s="349"/>
      <c r="W78" s="322">
        <f>Sankey_diag!N46+Sankey_diag!N45</f>
        <v>128.18058000000002</v>
      </c>
      <c r="X78" s="317"/>
      <c r="Y78" s="316"/>
      <c r="Z78" s="319">
        <v>0.05</v>
      </c>
      <c r="AA78" s="375">
        <f>Z78*W78</f>
        <v>6.4090290000000012</v>
      </c>
      <c r="AB78" s="316"/>
      <c r="AC78" s="316"/>
      <c r="AD78" s="316"/>
      <c r="AE78" s="320"/>
      <c r="AF78" s="316"/>
      <c r="AG78" s="316"/>
      <c r="AH78" s="350"/>
    </row>
    <row r="79" spans="1:34" ht="43.2" x14ac:dyDescent="0.3">
      <c r="B79" s="459"/>
      <c r="C79" s="316"/>
      <c r="D79" s="456"/>
      <c r="E79" s="456"/>
      <c r="F79" s="316"/>
      <c r="G79" s="326" t="s">
        <v>892</v>
      </c>
      <c r="H79" s="330"/>
      <c r="I79" s="330"/>
      <c r="J79" s="330"/>
      <c r="K79" s="330"/>
      <c r="L79" s="330"/>
      <c r="M79" s="330"/>
      <c r="N79" s="330"/>
      <c r="O79" s="330"/>
      <c r="P79" s="330"/>
      <c r="Q79" s="330"/>
      <c r="R79" s="330"/>
      <c r="S79" s="348" t="s">
        <v>2911</v>
      </c>
      <c r="T79" s="312">
        <v>0.2</v>
      </c>
      <c r="U79" s="332">
        <v>0</v>
      </c>
      <c r="V79" s="349"/>
      <c r="W79" s="322">
        <f>(Sankey_diag!N45+Sankey_diag!N46+Sankey_diag!N44)*T79</f>
        <v>70.663848000000016</v>
      </c>
      <c r="X79" s="317"/>
      <c r="Y79" s="316"/>
      <c r="Z79" s="319">
        <f>1-36/362</f>
        <v>0.90055248618784534</v>
      </c>
      <c r="AA79" s="375">
        <f>Z79*W79*T79</f>
        <v>12.727300800000004</v>
      </c>
      <c r="AB79" s="316"/>
      <c r="AC79" s="316"/>
      <c r="AD79" s="316"/>
      <c r="AE79" s="320"/>
      <c r="AF79" s="316"/>
      <c r="AG79" s="316"/>
      <c r="AH79" s="350"/>
    </row>
    <row r="80" spans="1:34" ht="47.4" customHeight="1" x14ac:dyDescent="0.3">
      <c r="B80" s="459"/>
      <c r="C80" s="316" t="s">
        <v>346</v>
      </c>
      <c r="D80" s="456"/>
      <c r="E80" s="456"/>
      <c r="F80" s="316" t="s">
        <v>396</v>
      </c>
      <c r="G80" s="326" t="s">
        <v>893</v>
      </c>
      <c r="H80" s="330"/>
      <c r="I80" s="330"/>
      <c r="J80" s="330" t="s">
        <v>52</v>
      </c>
      <c r="K80" s="330"/>
      <c r="L80" s="330" t="s">
        <v>42</v>
      </c>
      <c r="M80" s="330" t="s">
        <v>43</v>
      </c>
      <c r="N80" s="330" t="s">
        <v>44</v>
      </c>
      <c r="O80" s="330"/>
      <c r="P80" s="330" t="s">
        <v>45</v>
      </c>
      <c r="Q80" s="330"/>
      <c r="R80" s="330"/>
      <c r="S80" s="348" t="s">
        <v>398</v>
      </c>
      <c r="T80" s="311">
        <v>0.5</v>
      </c>
      <c r="U80" s="332"/>
      <c r="V80" s="349"/>
      <c r="W80" s="324">
        <f>Sankey_diag!K48</f>
        <v>24.975974000000001</v>
      </c>
      <c r="X80" s="317" cm="1">
        <f t="array" ref="X80">IF(Y80="",W80,_xlfn.XLOOKUP(Y80,$Y$2:Y77,$AC$2:AC77,W80,0,-1))</f>
        <v>24.975974000000001</v>
      </c>
      <c r="Y80" s="316"/>
      <c r="Z80" s="319">
        <v>1</v>
      </c>
      <c r="AA80" s="375">
        <f t="shared" si="35"/>
        <v>12.487987</v>
      </c>
      <c r="AB80" s="316">
        <f t="shared" si="36"/>
        <v>12.487987</v>
      </c>
      <c r="AC80" s="316">
        <f t="shared" si="37"/>
        <v>12.487987</v>
      </c>
      <c r="AD80" s="316"/>
      <c r="AE80" s="320">
        <f>AA80/Sankey_diag!$H$62</f>
        <v>3.3979257101644715E-3</v>
      </c>
      <c r="AF80" s="316"/>
      <c r="AG80" s="316" t="s">
        <v>399</v>
      </c>
      <c r="AH80" s="350" t="s">
        <v>400</v>
      </c>
    </row>
    <row r="81" spans="1:34" ht="28.8" x14ac:dyDescent="0.3">
      <c r="A81" t="s">
        <v>401</v>
      </c>
      <c r="B81" s="459"/>
      <c r="C81" s="316" t="s">
        <v>346</v>
      </c>
      <c r="D81" s="456"/>
      <c r="E81" s="456" t="s">
        <v>402</v>
      </c>
      <c r="F81" s="316" t="s">
        <v>403</v>
      </c>
      <c r="G81" s="326" t="s">
        <v>403</v>
      </c>
      <c r="H81" s="330"/>
      <c r="I81" s="330" t="s">
        <v>404</v>
      </c>
      <c r="J81" s="330" t="s">
        <v>41</v>
      </c>
      <c r="K81" s="330">
        <v>0</v>
      </c>
      <c r="L81" s="330" t="s">
        <v>53</v>
      </c>
      <c r="M81" s="330" t="s">
        <v>44</v>
      </c>
      <c r="N81" s="330" t="s">
        <v>44</v>
      </c>
      <c r="O81" s="330" t="s">
        <v>405</v>
      </c>
      <c r="P81" s="330" t="s">
        <v>45</v>
      </c>
      <c r="Q81" s="330"/>
      <c r="R81" s="330"/>
      <c r="S81" s="348" t="s">
        <v>406</v>
      </c>
      <c r="T81" s="311">
        <v>0.9</v>
      </c>
      <c r="U81" s="332"/>
      <c r="V81" s="349"/>
      <c r="W81" s="322">
        <f>Sankey_diag!K51+Sankey_diag!N50</f>
        <v>12.349064</v>
      </c>
      <c r="X81" s="317" cm="1">
        <f t="array" ref="X81">IF(Y81="",W81,_xlfn.XLOOKUP(Y81,$Y$2:Y80,$AC$2:AC80,W81,0,-1))</f>
        <v>7.3435000000000006</v>
      </c>
      <c r="Y81" s="316">
        <v>12</v>
      </c>
      <c r="Z81" s="387">
        <v>0.5</v>
      </c>
      <c r="AA81" s="375">
        <f t="shared" si="35"/>
        <v>5.5570788000000002</v>
      </c>
      <c r="AB81" s="316">
        <f t="shared" si="36"/>
        <v>3.3045750000000003</v>
      </c>
      <c r="AC81" s="316">
        <f t="shared" si="37"/>
        <v>4.0389250000000008</v>
      </c>
      <c r="AD81" s="316"/>
      <c r="AE81" s="320">
        <f>AA81/Sankey_diag!$H$62</f>
        <v>1.5120564209371717E-3</v>
      </c>
      <c r="AF81" s="316"/>
      <c r="AG81" s="316" t="s">
        <v>77</v>
      </c>
      <c r="AH81" s="350" t="s">
        <v>97</v>
      </c>
    </row>
    <row r="82" spans="1:34" x14ac:dyDescent="0.3">
      <c r="A82" t="s">
        <v>407</v>
      </c>
      <c r="B82" s="459"/>
      <c r="C82" s="316" t="s">
        <v>346</v>
      </c>
      <c r="D82" s="456"/>
      <c r="E82" s="456"/>
      <c r="F82" s="316" t="s">
        <v>408</v>
      </c>
      <c r="G82" s="326" t="s">
        <v>408</v>
      </c>
      <c r="H82" s="330"/>
      <c r="I82" s="330"/>
      <c r="J82" s="330" t="s">
        <v>41</v>
      </c>
      <c r="K82" s="330">
        <v>1</v>
      </c>
      <c r="L82" s="330" t="s">
        <v>86</v>
      </c>
      <c r="M82" s="330" t="s">
        <v>44</v>
      </c>
      <c r="N82" s="330" t="s">
        <v>44</v>
      </c>
      <c r="O82" s="330"/>
      <c r="P82" s="330" t="s">
        <v>45</v>
      </c>
      <c r="Q82" s="330"/>
      <c r="R82" s="330"/>
      <c r="S82" s="348" t="s">
        <v>409</v>
      </c>
      <c r="T82" s="311">
        <v>1</v>
      </c>
      <c r="U82" s="332"/>
      <c r="V82" s="349"/>
      <c r="W82" s="322"/>
      <c r="X82" s="317"/>
      <c r="Y82" s="316"/>
      <c r="Z82" s="316"/>
      <c r="AA82" s="375"/>
      <c r="AB82" s="316"/>
      <c r="AC82" s="316"/>
      <c r="AD82" s="316"/>
      <c r="AE82" s="320">
        <f>AA82/Sankey_diag!$H$62</f>
        <v>0</v>
      </c>
      <c r="AF82" s="316"/>
      <c r="AG82" s="316"/>
      <c r="AH82" s="350"/>
    </row>
    <row r="83" spans="1:34" x14ac:dyDescent="0.3">
      <c r="A83" t="s">
        <v>410</v>
      </c>
      <c r="B83" s="459"/>
      <c r="C83" s="316"/>
      <c r="D83" s="456"/>
      <c r="E83" s="456"/>
      <c r="F83" s="316" t="s">
        <v>411</v>
      </c>
      <c r="G83" s="327" t="s">
        <v>412</v>
      </c>
      <c r="H83" s="330"/>
      <c r="I83" s="330"/>
      <c r="J83" s="330" t="s">
        <v>41</v>
      </c>
      <c r="K83" s="330"/>
      <c r="L83" s="330"/>
      <c r="M83" s="330"/>
      <c r="N83" s="330"/>
      <c r="O83" s="330"/>
      <c r="P83" s="330"/>
      <c r="Q83" s="330"/>
      <c r="R83" s="330"/>
      <c r="S83" s="348" t="s">
        <v>413</v>
      </c>
      <c r="T83" s="312">
        <v>1</v>
      </c>
      <c r="U83" s="332"/>
      <c r="V83" s="349"/>
      <c r="W83" s="322"/>
      <c r="X83" s="317" cm="1">
        <f t="array" ref="X83">IF(Y83="",W83,_xlfn.XLOOKUP(Y83,$Y$2:Y82,$AC$2:AC82,W83,0,-1))</f>
        <v>0</v>
      </c>
      <c r="Y83" s="316"/>
      <c r="Z83" s="319">
        <v>0.02</v>
      </c>
      <c r="AA83" s="375">
        <f t="shared" ref="AA83:AA84" si="38">(T83-U83)*Z83*W83</f>
        <v>0</v>
      </c>
      <c r="AB83" s="316">
        <f t="shared" ref="AB83:AB84" si="39">(T83-U83)*Z83*X83</f>
        <v>0</v>
      </c>
      <c r="AC83" s="316">
        <f t="shared" ref="AC83:AC84" si="40">X83-AB83</f>
        <v>0</v>
      </c>
      <c r="AD83" s="316"/>
      <c r="AE83" s="320">
        <f>AA83/Sankey_diag!$H$62</f>
        <v>0</v>
      </c>
      <c r="AF83" s="316"/>
      <c r="AG83" s="316"/>
      <c r="AH83" s="350"/>
    </row>
    <row r="84" spans="1:34" ht="28.8" x14ac:dyDescent="0.3">
      <c r="A84" t="s">
        <v>414</v>
      </c>
      <c r="B84" s="459"/>
      <c r="C84" s="316" t="s">
        <v>346</v>
      </c>
      <c r="D84" s="456"/>
      <c r="E84" s="456"/>
      <c r="F84" s="316" t="s">
        <v>415</v>
      </c>
      <c r="G84" s="326" t="s">
        <v>416</v>
      </c>
      <c r="H84" s="330"/>
      <c r="I84" s="330" t="s">
        <v>417</v>
      </c>
      <c r="J84" s="330" t="s">
        <v>41</v>
      </c>
      <c r="K84" s="330">
        <v>0</v>
      </c>
      <c r="L84" s="330" t="s">
        <v>53</v>
      </c>
      <c r="M84" s="330" t="s">
        <v>44</v>
      </c>
      <c r="N84" s="330" t="s">
        <v>44</v>
      </c>
      <c r="O84" s="330" t="s">
        <v>418</v>
      </c>
      <c r="P84" s="330" t="s">
        <v>45</v>
      </c>
      <c r="Q84" s="330"/>
      <c r="R84" s="330"/>
      <c r="S84" s="348" t="s">
        <v>419</v>
      </c>
      <c r="T84" s="311">
        <v>0.5</v>
      </c>
      <c r="U84" s="332"/>
      <c r="V84" s="349"/>
      <c r="W84" s="322">
        <f>Sankey_diag!N48</f>
        <v>16.09995</v>
      </c>
      <c r="X84" s="317" cm="1">
        <f t="array" ref="X84">IF(Y84="",W84,_xlfn.XLOOKUP(Y84,$Y$2:Y82,$AC$2:AC82,W84,0,-1))</f>
        <v>34.949547999999993</v>
      </c>
      <c r="Y84" s="316">
        <v>13</v>
      </c>
      <c r="Z84" s="319">
        <f>40%*50%</f>
        <v>0.2</v>
      </c>
      <c r="AA84" s="375">
        <f t="shared" si="38"/>
        <v>1.6099950000000001</v>
      </c>
      <c r="AB84" s="316">
        <f t="shared" si="39"/>
        <v>3.4949547999999995</v>
      </c>
      <c r="AC84" s="316">
        <f t="shared" si="40"/>
        <v>31.454593199999994</v>
      </c>
      <c r="AD84" s="316"/>
      <c r="AE84" s="320">
        <f>AA84/Sankey_diag!$H$62</f>
        <v>4.3807247747265014E-4</v>
      </c>
      <c r="AF84" s="316"/>
      <c r="AG84" s="316" t="s">
        <v>77</v>
      </c>
      <c r="AH84" s="350"/>
    </row>
    <row r="85" spans="1:34" x14ac:dyDescent="0.3">
      <c r="A85" t="s">
        <v>420</v>
      </c>
      <c r="B85" s="459"/>
      <c r="C85" s="316" t="s">
        <v>346</v>
      </c>
      <c r="D85" s="456"/>
      <c r="E85" s="456"/>
      <c r="F85" s="316" t="s">
        <v>421</v>
      </c>
      <c r="G85" s="326" t="s">
        <v>894</v>
      </c>
      <c r="H85" s="330"/>
      <c r="I85" s="330"/>
      <c r="J85" s="330" t="s">
        <v>41</v>
      </c>
      <c r="K85" s="330">
        <v>2</v>
      </c>
      <c r="L85" s="330" t="s">
        <v>53</v>
      </c>
      <c r="M85" s="330" t="s">
        <v>44</v>
      </c>
      <c r="N85" s="330" t="s">
        <v>44</v>
      </c>
      <c r="O85" s="330" t="s">
        <v>393</v>
      </c>
      <c r="P85" s="330" t="s">
        <v>106</v>
      </c>
      <c r="Q85" s="330"/>
      <c r="R85" s="330"/>
      <c r="S85" s="348" t="s">
        <v>423</v>
      </c>
      <c r="T85" s="311">
        <v>0.9</v>
      </c>
      <c r="U85" s="332">
        <v>0</v>
      </c>
      <c r="V85" s="349"/>
      <c r="W85" s="322"/>
      <c r="X85" s="317"/>
      <c r="Y85" s="316"/>
      <c r="Z85" s="316"/>
      <c r="AA85" s="375"/>
      <c r="AB85" s="316"/>
      <c r="AC85" s="316"/>
      <c r="AD85" s="316"/>
      <c r="AE85" s="320"/>
      <c r="AF85" s="316"/>
      <c r="AG85" s="316"/>
      <c r="AH85" s="350"/>
    </row>
    <row r="86" spans="1:34" x14ac:dyDescent="0.3">
      <c r="A86" t="s">
        <v>424</v>
      </c>
      <c r="B86" s="459"/>
      <c r="C86" s="316" t="s">
        <v>346</v>
      </c>
      <c r="D86" s="456"/>
      <c r="E86" s="456"/>
      <c r="F86" s="316" t="s">
        <v>425</v>
      </c>
      <c r="G86" s="326" t="s">
        <v>425</v>
      </c>
      <c r="H86" s="330"/>
      <c r="I86" s="330" t="s">
        <v>427</v>
      </c>
      <c r="J86" s="330" t="s">
        <v>41</v>
      </c>
      <c r="K86" s="330">
        <v>0</v>
      </c>
      <c r="L86" s="330" t="s">
        <v>53</v>
      </c>
      <c r="M86" s="330" t="s">
        <v>43</v>
      </c>
      <c r="N86" s="330" t="s">
        <v>44</v>
      </c>
      <c r="O86" s="330"/>
      <c r="P86" s="330" t="s">
        <v>106</v>
      </c>
      <c r="Q86" s="330"/>
      <c r="R86" s="330"/>
      <c r="S86" s="348" t="s">
        <v>428</v>
      </c>
      <c r="T86" s="311">
        <v>0.9</v>
      </c>
      <c r="U86" s="332"/>
      <c r="V86" s="349"/>
      <c r="W86" s="322"/>
      <c r="X86" s="317"/>
      <c r="Y86" s="316"/>
      <c r="Z86" s="319"/>
      <c r="AA86" s="375"/>
      <c r="AB86" s="316"/>
      <c r="AC86" s="316"/>
      <c r="AD86" s="316"/>
      <c r="AE86" s="320"/>
      <c r="AF86" s="316"/>
      <c r="AG86" s="316" t="s">
        <v>77</v>
      </c>
      <c r="AH86" s="350" t="s">
        <v>429</v>
      </c>
    </row>
    <row r="87" spans="1:34" x14ac:dyDescent="0.3">
      <c r="B87" s="459"/>
      <c r="C87" s="316"/>
      <c r="D87" s="456"/>
      <c r="E87" s="456"/>
      <c r="F87" s="316"/>
      <c r="G87" s="326" t="s">
        <v>2596</v>
      </c>
      <c r="H87" s="330"/>
      <c r="I87" s="330"/>
      <c r="J87" s="330" t="s">
        <v>185</v>
      </c>
      <c r="K87" s="330"/>
      <c r="L87" s="330"/>
      <c r="M87" s="330"/>
      <c r="N87" s="330"/>
      <c r="O87" s="330"/>
      <c r="P87" s="330"/>
      <c r="Q87" s="330"/>
      <c r="R87" s="330"/>
      <c r="S87" s="348" t="s">
        <v>431</v>
      </c>
      <c r="T87" s="310">
        <v>4</v>
      </c>
      <c r="U87" s="332">
        <v>0</v>
      </c>
      <c r="V87" s="349"/>
      <c r="W87" s="322">
        <f>Sankey_diag!N44+Sankey_diag!N45+Sankey_diag!N46</f>
        <v>353.31924000000004</v>
      </c>
      <c r="X87" s="317"/>
      <c r="Y87" s="316"/>
      <c r="Z87" s="319">
        <v>2.5000000000000001E-2</v>
      </c>
      <c r="AA87" s="375">
        <f>Z87*W87</f>
        <v>8.832981000000002</v>
      </c>
      <c r="AB87" s="316"/>
      <c r="AC87" s="316"/>
      <c r="AD87" s="316"/>
      <c r="AE87" s="320"/>
      <c r="AF87" s="316"/>
      <c r="AG87" s="316"/>
      <c r="AH87" s="350"/>
    </row>
    <row r="88" spans="1:34" ht="28.8" x14ac:dyDescent="0.3">
      <c r="B88" s="574"/>
      <c r="C88" s="398"/>
      <c r="D88" s="575"/>
      <c r="E88" s="575"/>
      <c r="F88" s="398"/>
      <c r="G88" s="399" t="s">
        <v>895</v>
      </c>
      <c r="H88" s="400"/>
      <c r="I88" s="400"/>
      <c r="J88" s="400"/>
      <c r="K88" s="400"/>
      <c r="L88" s="400"/>
      <c r="M88" s="400"/>
      <c r="N88" s="400"/>
      <c r="O88" s="400"/>
      <c r="P88" s="400"/>
      <c r="Q88" s="400"/>
      <c r="R88" s="400"/>
      <c r="S88" s="401" t="s">
        <v>896</v>
      </c>
      <c r="T88" s="410">
        <v>1</v>
      </c>
      <c r="U88" s="402"/>
      <c r="V88" s="403"/>
      <c r="W88" s="404"/>
      <c r="X88" s="405"/>
      <c r="Y88" s="398"/>
      <c r="Z88" s="406"/>
      <c r="AA88" s="407"/>
      <c r="AB88" s="398"/>
      <c r="AC88" s="398"/>
      <c r="AD88" s="398"/>
      <c r="AE88" s="408"/>
      <c r="AF88" s="398"/>
      <c r="AG88" s="398"/>
      <c r="AH88" s="409"/>
    </row>
    <row r="89" spans="1:34" ht="54" customHeight="1" thickBot="1" x14ac:dyDescent="0.35">
      <c r="B89" s="460"/>
      <c r="C89" s="351" t="s">
        <v>346</v>
      </c>
      <c r="D89" s="457"/>
      <c r="E89" s="457"/>
      <c r="F89" s="351" t="s">
        <v>432</v>
      </c>
      <c r="G89" s="353" t="s">
        <v>2618</v>
      </c>
      <c r="H89" s="354"/>
      <c r="I89" s="354"/>
      <c r="J89" s="354" t="s">
        <v>52</v>
      </c>
      <c r="K89" s="354"/>
      <c r="L89" s="354" t="s">
        <v>86</v>
      </c>
      <c r="M89" s="354" t="s">
        <v>44</v>
      </c>
      <c r="N89" s="354" t="s">
        <v>44</v>
      </c>
      <c r="O89" s="354"/>
      <c r="P89" s="354" t="s">
        <v>119</v>
      </c>
      <c r="Q89" s="354"/>
      <c r="R89" s="354"/>
      <c r="S89" s="356" t="s">
        <v>434</v>
      </c>
      <c r="T89" s="388">
        <v>1</v>
      </c>
      <c r="U89" s="358">
        <v>0</v>
      </c>
      <c r="V89" s="359"/>
      <c r="W89" s="360"/>
      <c r="X89" s="361"/>
      <c r="Y89" s="351"/>
      <c r="Z89" s="389"/>
      <c r="AA89" s="376"/>
      <c r="AB89" s="351"/>
      <c r="AC89" s="351"/>
      <c r="AD89" s="351"/>
      <c r="AE89" s="362"/>
      <c r="AF89" s="351"/>
      <c r="AG89" s="352" t="s">
        <v>435</v>
      </c>
      <c r="AH89" s="363" t="s">
        <v>436</v>
      </c>
    </row>
    <row r="90" spans="1:34" ht="72.599999999999994" thickTop="1" x14ac:dyDescent="0.3">
      <c r="A90" t="s">
        <v>437</v>
      </c>
      <c r="B90" s="458" t="s">
        <v>438</v>
      </c>
      <c r="C90" s="336" t="s">
        <v>439</v>
      </c>
      <c r="D90" s="455" t="s">
        <v>440</v>
      </c>
      <c r="E90" s="337" t="s">
        <v>441</v>
      </c>
      <c r="F90" s="336" t="s">
        <v>442</v>
      </c>
      <c r="G90" s="338" t="s">
        <v>442</v>
      </c>
      <c r="H90" s="339"/>
      <c r="I90" s="339" t="s">
        <v>443</v>
      </c>
      <c r="J90" s="339" t="s">
        <v>41</v>
      </c>
      <c r="K90" s="339">
        <v>0</v>
      </c>
      <c r="L90" s="339" t="s">
        <v>53</v>
      </c>
      <c r="M90" s="339" t="s">
        <v>44</v>
      </c>
      <c r="N90" s="339" t="s">
        <v>44</v>
      </c>
      <c r="O90" s="339"/>
      <c r="P90" s="339" t="s">
        <v>45</v>
      </c>
      <c r="Q90" s="339"/>
      <c r="R90" s="339"/>
      <c r="S90" s="340" t="s">
        <v>444</v>
      </c>
      <c r="T90" s="341">
        <v>0.75</v>
      </c>
      <c r="U90" s="342"/>
      <c r="V90" s="343"/>
      <c r="W90" s="344"/>
      <c r="X90" s="345" cm="1">
        <f t="array" ref="X90">IF(Y90="",W90,_xlfn.XLOOKUP(Y90,$Y$2:Y89,$AC$2:AC89,W90,0,-1))</f>
        <v>0</v>
      </c>
      <c r="Y90" s="336"/>
      <c r="Z90" s="377"/>
      <c r="AA90" s="374">
        <f t="shared" ref="AA90:AA92" si="41">(T90-U90)*Z90*W90</f>
        <v>0</v>
      </c>
      <c r="AB90" s="336">
        <f t="shared" ref="AB90:AB92" si="42">(T90-U90)*Z90*X90</f>
        <v>0</v>
      </c>
      <c r="AC90" s="336">
        <f t="shared" ref="AC90:AC92" si="43">X90-AB90</f>
        <v>0</v>
      </c>
      <c r="AD90" s="336"/>
      <c r="AE90" s="346">
        <f>AA90/Sankey_diag!$H$62</f>
        <v>0</v>
      </c>
      <c r="AF90" s="336"/>
      <c r="AG90" s="336" t="s">
        <v>77</v>
      </c>
      <c r="AH90" s="347"/>
    </row>
    <row r="91" spans="1:34" ht="43.2" x14ac:dyDescent="0.3">
      <c r="A91" t="s">
        <v>445</v>
      </c>
      <c r="B91" s="459"/>
      <c r="C91" s="316" t="s">
        <v>439</v>
      </c>
      <c r="D91" s="456"/>
      <c r="E91" s="315" t="s">
        <v>446</v>
      </c>
      <c r="F91" s="316" t="s">
        <v>447</v>
      </c>
      <c r="G91" s="326" t="s">
        <v>448</v>
      </c>
      <c r="H91" s="330"/>
      <c r="I91" s="330" t="s">
        <v>449</v>
      </c>
      <c r="J91" s="330" t="s">
        <v>41</v>
      </c>
      <c r="K91" s="330">
        <v>1</v>
      </c>
      <c r="L91" s="330" t="s">
        <v>42</v>
      </c>
      <c r="M91" s="330" t="s">
        <v>111</v>
      </c>
      <c r="N91" s="330" t="s">
        <v>43</v>
      </c>
      <c r="O91" s="330"/>
      <c r="P91" s="330" t="s">
        <v>45</v>
      </c>
      <c r="Q91" s="330"/>
      <c r="R91" s="330"/>
      <c r="S91" s="348" t="s">
        <v>450</v>
      </c>
      <c r="T91" s="311">
        <v>0.7</v>
      </c>
      <c r="U91" s="332"/>
      <c r="V91" s="349"/>
      <c r="W91" s="322"/>
      <c r="X91" s="317" cm="1">
        <f t="array" ref="X91">IF(Y91="",W91,_xlfn.XLOOKUP(Y91,$Y$2:Y90,$AC$2:AC90,W91,0,-1))</f>
        <v>0</v>
      </c>
      <c r="Y91" s="316"/>
      <c r="Z91" s="319"/>
      <c r="AA91" s="375">
        <f t="shared" si="41"/>
        <v>0</v>
      </c>
      <c r="AB91" s="316">
        <f t="shared" si="42"/>
        <v>0</v>
      </c>
      <c r="AC91" s="316">
        <f t="shared" si="43"/>
        <v>0</v>
      </c>
      <c r="AD91" s="316"/>
      <c r="AE91" s="320">
        <f>AA91/Sankey_diag!$H$62</f>
        <v>0</v>
      </c>
      <c r="AF91" s="316"/>
      <c r="AG91" s="316"/>
      <c r="AH91" s="350"/>
    </row>
    <row r="92" spans="1:34" ht="40.35" customHeight="1" x14ac:dyDescent="0.3">
      <c r="A92" t="s">
        <v>451</v>
      </c>
      <c r="B92" s="459"/>
      <c r="C92" s="316" t="s">
        <v>439</v>
      </c>
      <c r="D92" s="456"/>
      <c r="E92" s="456" t="s">
        <v>452</v>
      </c>
      <c r="F92" s="316" t="s">
        <v>453</v>
      </c>
      <c r="G92" s="326" t="s">
        <v>2603</v>
      </c>
      <c r="H92" s="330"/>
      <c r="I92" s="330" t="s">
        <v>455</v>
      </c>
      <c r="J92" s="330" t="s">
        <v>41</v>
      </c>
      <c r="K92" s="330">
        <v>1</v>
      </c>
      <c r="L92" s="330" t="s">
        <v>86</v>
      </c>
      <c r="M92" s="330" t="s">
        <v>43</v>
      </c>
      <c r="N92" s="330" t="s">
        <v>44</v>
      </c>
      <c r="O92" s="330"/>
      <c r="P92" s="330" t="s">
        <v>45</v>
      </c>
      <c r="Q92" s="330"/>
      <c r="R92" s="330"/>
      <c r="S92" s="348" t="s">
        <v>456</v>
      </c>
      <c r="T92" s="311">
        <v>0.7</v>
      </c>
      <c r="U92" s="332"/>
      <c r="V92" s="349"/>
      <c r="W92" s="322"/>
      <c r="X92" s="317" cm="1">
        <f t="array" ref="X92">IF(Y92="",W92,_xlfn.XLOOKUP(Y92,$Y$2:Y91,$AC$2:AC91,W92,0,-1))</f>
        <v>0</v>
      </c>
      <c r="Y92" s="316"/>
      <c r="Z92" s="319">
        <v>0.6</v>
      </c>
      <c r="AA92" s="375">
        <f t="shared" si="41"/>
        <v>0</v>
      </c>
      <c r="AB92" s="316">
        <f t="shared" si="42"/>
        <v>0</v>
      </c>
      <c r="AC92" s="316">
        <f t="shared" si="43"/>
        <v>0</v>
      </c>
      <c r="AD92" s="316"/>
      <c r="AE92" s="320">
        <f>AA92/Sankey_diag!$H$62</f>
        <v>0</v>
      </c>
      <c r="AF92" s="316"/>
      <c r="AG92" s="316"/>
      <c r="AH92" s="350"/>
    </row>
    <row r="93" spans="1:34" ht="44.4" customHeight="1" x14ac:dyDescent="0.3">
      <c r="B93" s="459"/>
      <c r="C93" s="316"/>
      <c r="D93" s="456"/>
      <c r="E93" s="456"/>
      <c r="F93" s="316"/>
      <c r="G93" s="329" t="s">
        <v>2604</v>
      </c>
      <c r="H93" s="330"/>
      <c r="I93" s="330"/>
      <c r="J93" s="330"/>
      <c r="K93" s="330"/>
      <c r="L93" s="330"/>
      <c r="M93" s="330"/>
      <c r="N93" s="330"/>
      <c r="O93" s="330"/>
      <c r="P93" s="330"/>
      <c r="Q93" s="330"/>
      <c r="R93" s="330"/>
      <c r="S93" s="348" t="s">
        <v>458</v>
      </c>
      <c r="T93" s="311">
        <v>0.7</v>
      </c>
      <c r="U93" s="332"/>
      <c r="V93" s="349"/>
      <c r="W93" s="322"/>
      <c r="X93" s="317"/>
      <c r="Y93" s="316"/>
      <c r="Z93" s="319"/>
      <c r="AA93" s="375"/>
      <c r="AB93" s="316"/>
      <c r="AC93" s="316"/>
      <c r="AD93" s="316"/>
      <c r="AE93" s="320"/>
      <c r="AF93" s="316"/>
      <c r="AG93" s="316"/>
      <c r="AH93" s="350"/>
    </row>
    <row r="94" spans="1:34" ht="14.4" customHeight="1" x14ac:dyDescent="0.3">
      <c r="A94" t="s">
        <v>459</v>
      </c>
      <c r="B94" s="459"/>
      <c r="C94" s="316" t="s">
        <v>439</v>
      </c>
      <c r="D94" s="456"/>
      <c r="E94" s="575" t="s">
        <v>460</v>
      </c>
      <c r="F94" s="316" t="s">
        <v>461</v>
      </c>
      <c r="G94" s="326" t="s">
        <v>462</v>
      </c>
      <c r="H94" s="330"/>
      <c r="I94" s="330" t="s">
        <v>463</v>
      </c>
      <c r="J94" s="330" t="s">
        <v>41</v>
      </c>
      <c r="K94" s="330">
        <v>0</v>
      </c>
      <c r="L94" s="330" t="s">
        <v>42</v>
      </c>
      <c r="M94" s="330" t="s">
        <v>43</v>
      </c>
      <c r="N94" s="330" t="s">
        <v>44</v>
      </c>
      <c r="O94" s="330"/>
      <c r="P94" s="330" t="s">
        <v>119</v>
      </c>
      <c r="Q94" s="330"/>
      <c r="R94" s="330"/>
      <c r="S94" s="348" t="s">
        <v>464</v>
      </c>
      <c r="T94" s="310">
        <v>1</v>
      </c>
      <c r="U94" s="332">
        <v>0</v>
      </c>
      <c r="V94" s="349"/>
      <c r="W94" s="322"/>
      <c r="X94" s="317" cm="1">
        <f t="array" ref="X94">IF(Y94="",W94,_xlfn.XLOOKUP(Y94,$Y$2:Y92,$AC$2:AC92,W94,0,-1))</f>
        <v>0</v>
      </c>
      <c r="Y94" s="316"/>
      <c r="Z94" s="316"/>
      <c r="AA94" s="375">
        <f t="shared" ref="AA94:AA106" si="44">(T94-U94)*Z94*W94</f>
        <v>0</v>
      </c>
      <c r="AB94" s="316">
        <f t="shared" ref="AB94:AB107" si="45">(T94-U94)*Z94*X94</f>
        <v>0</v>
      </c>
      <c r="AC94" s="316">
        <f t="shared" ref="AC94:AC116" si="46">X94-AB94</f>
        <v>0</v>
      </c>
      <c r="AD94" s="316"/>
      <c r="AE94" s="320">
        <f>AA94/Sankey_diag!$H$62</f>
        <v>0</v>
      </c>
      <c r="AF94" s="316"/>
      <c r="AG94" s="316" t="s">
        <v>356</v>
      </c>
      <c r="AH94" s="350" t="s">
        <v>465</v>
      </c>
    </row>
    <row r="95" spans="1:34" x14ac:dyDescent="0.3">
      <c r="A95" t="s">
        <v>466</v>
      </c>
      <c r="B95" s="459"/>
      <c r="C95" s="316" t="s">
        <v>439</v>
      </c>
      <c r="D95" s="456"/>
      <c r="E95" s="576"/>
      <c r="F95" s="316" t="s">
        <v>467</v>
      </c>
      <c r="G95" s="326" t="s">
        <v>467</v>
      </c>
      <c r="H95" s="330"/>
      <c r="I95" s="330"/>
      <c r="J95" s="330" t="s">
        <v>41</v>
      </c>
      <c r="K95" s="330">
        <v>0</v>
      </c>
      <c r="L95" s="330" t="s">
        <v>53</v>
      </c>
      <c r="M95" s="330" t="s">
        <v>43</v>
      </c>
      <c r="N95" s="330" t="s">
        <v>43</v>
      </c>
      <c r="O95" s="330"/>
      <c r="P95" s="330" t="s">
        <v>106</v>
      </c>
      <c r="Q95" s="330"/>
      <c r="R95" s="330"/>
      <c r="S95" s="348" t="s">
        <v>468</v>
      </c>
      <c r="T95" s="311">
        <v>1</v>
      </c>
      <c r="U95" s="332"/>
      <c r="V95" s="349"/>
      <c r="W95" s="322"/>
      <c r="X95" s="317" cm="1">
        <f t="array" ref="X95">IF(Y95="",W95,_xlfn.XLOOKUP(Y95,$Y$2:Y94,$AC$2:AC94,W95,0,-1))</f>
        <v>0</v>
      </c>
      <c r="Y95" s="316"/>
      <c r="Z95" s="319">
        <v>0.15</v>
      </c>
      <c r="AA95" s="375">
        <f t="shared" si="44"/>
        <v>0</v>
      </c>
      <c r="AB95" s="316">
        <f t="shared" si="45"/>
        <v>0</v>
      </c>
      <c r="AC95" s="316">
        <f t="shared" si="46"/>
        <v>0</v>
      </c>
      <c r="AD95" s="316"/>
      <c r="AE95" s="320">
        <f>AA95/Sankey_diag!$H$62</f>
        <v>0</v>
      </c>
      <c r="AF95" s="316"/>
      <c r="AG95" s="316"/>
      <c r="AH95" s="350"/>
    </row>
    <row r="96" spans="1:34" x14ac:dyDescent="0.3">
      <c r="B96" s="459"/>
      <c r="C96" s="316" t="s">
        <v>439</v>
      </c>
      <c r="D96" s="456"/>
      <c r="E96" s="576"/>
      <c r="F96" s="316" t="s">
        <v>469</v>
      </c>
      <c r="G96" s="326" t="s">
        <v>2619</v>
      </c>
      <c r="H96" s="330"/>
      <c r="I96" s="330" t="s">
        <v>470</v>
      </c>
      <c r="J96" s="330" t="s">
        <v>41</v>
      </c>
      <c r="K96" s="330"/>
      <c r="L96" s="330" t="s">
        <v>53</v>
      </c>
      <c r="M96" s="330" t="s">
        <v>44</v>
      </c>
      <c r="N96" s="330" t="s">
        <v>44</v>
      </c>
      <c r="O96" s="330"/>
      <c r="P96" s="330" t="s">
        <v>45</v>
      </c>
      <c r="Q96" s="330"/>
      <c r="R96" s="330"/>
      <c r="S96" s="348" t="s">
        <v>471</v>
      </c>
      <c r="T96" s="310">
        <v>4</v>
      </c>
      <c r="U96" s="332"/>
      <c r="V96" s="349"/>
      <c r="W96" s="322"/>
      <c r="X96" s="317" cm="1">
        <f t="array" ref="X96">IF(Y96="",W96,_xlfn.XLOOKUP(Y96,$Y$2:Y95,$AC$2:AC95,W96,0,-1))</f>
        <v>0</v>
      </c>
      <c r="Y96" s="316"/>
      <c r="Z96" s="316"/>
      <c r="AA96" s="375">
        <f t="shared" si="44"/>
        <v>0</v>
      </c>
      <c r="AB96" s="316">
        <f t="shared" si="45"/>
        <v>0</v>
      </c>
      <c r="AC96" s="316">
        <f t="shared" si="46"/>
        <v>0</v>
      </c>
      <c r="AD96" s="316"/>
      <c r="AE96" s="320">
        <f>AA96/Sankey_diag!$H$62</f>
        <v>0</v>
      </c>
      <c r="AF96" s="316"/>
      <c r="AG96" s="316"/>
      <c r="AH96" s="350"/>
    </row>
    <row r="97" spans="1:34" x14ac:dyDescent="0.3">
      <c r="A97" t="s">
        <v>472</v>
      </c>
      <c r="B97" s="459"/>
      <c r="C97" s="316" t="s">
        <v>439</v>
      </c>
      <c r="D97" s="456"/>
      <c r="E97" s="576"/>
      <c r="F97" s="316" t="s">
        <v>473</v>
      </c>
      <c r="G97" s="396" t="s">
        <v>474</v>
      </c>
      <c r="H97" s="330"/>
      <c r="I97" s="330" t="s">
        <v>475</v>
      </c>
      <c r="J97" s="330" t="s">
        <v>41</v>
      </c>
      <c r="K97" s="330">
        <v>2</v>
      </c>
      <c r="L97" s="330" t="s">
        <v>86</v>
      </c>
      <c r="M97" s="330" t="s">
        <v>44</v>
      </c>
      <c r="N97" s="330" t="s">
        <v>44</v>
      </c>
      <c r="O97" s="330"/>
      <c r="P97" s="330" t="s">
        <v>106</v>
      </c>
      <c r="Q97" s="330"/>
      <c r="R97" s="330"/>
      <c r="S97" s="348" t="s">
        <v>476</v>
      </c>
      <c r="T97" s="310">
        <v>1</v>
      </c>
      <c r="U97" s="332">
        <v>0</v>
      </c>
      <c r="V97" s="349"/>
      <c r="W97" s="322"/>
      <c r="X97" s="317" cm="1">
        <f t="array" ref="X97">IF(Y97="",W97,_xlfn.XLOOKUP(Y97,$Y$2:Y96,$AC$2:AC96,W97,0,-1))</f>
        <v>0</v>
      </c>
      <c r="Y97" s="316"/>
      <c r="Z97" s="319">
        <v>0.01</v>
      </c>
      <c r="AA97" s="375">
        <f t="shared" si="44"/>
        <v>0</v>
      </c>
      <c r="AB97" s="316">
        <f t="shared" si="45"/>
        <v>0</v>
      </c>
      <c r="AC97" s="316">
        <f t="shared" si="46"/>
        <v>0</v>
      </c>
      <c r="AD97" s="316"/>
      <c r="AE97" s="320">
        <f>AA97/Sankey_diag!$H$62</f>
        <v>0</v>
      </c>
      <c r="AF97" s="316"/>
      <c r="AG97" s="316"/>
      <c r="AH97" s="350"/>
    </row>
    <row r="98" spans="1:34" x14ac:dyDescent="0.3">
      <c r="B98" s="459"/>
      <c r="C98" s="316" t="s">
        <v>439</v>
      </c>
      <c r="D98" s="456"/>
      <c r="E98" s="573"/>
      <c r="F98" s="316"/>
      <c r="G98" s="326" t="s">
        <v>897</v>
      </c>
      <c r="H98" s="330"/>
      <c r="I98" s="330"/>
      <c r="J98" s="330" t="s">
        <v>311</v>
      </c>
      <c r="K98" s="330"/>
      <c r="L98" s="330"/>
      <c r="M98" s="330"/>
      <c r="N98" s="330"/>
      <c r="O98" s="330"/>
      <c r="P98" s="330"/>
      <c r="Q98" s="330"/>
      <c r="R98" s="330"/>
      <c r="S98" s="348" t="s">
        <v>898</v>
      </c>
      <c r="T98" s="310">
        <v>1</v>
      </c>
      <c r="U98" s="332"/>
      <c r="V98" s="349"/>
      <c r="W98" s="322"/>
      <c r="X98" s="317"/>
      <c r="Y98" s="316"/>
      <c r="Z98" s="319"/>
      <c r="AA98" s="375"/>
      <c r="AB98" s="316"/>
      <c r="AC98" s="316"/>
      <c r="AD98" s="316"/>
      <c r="AE98" s="320"/>
      <c r="AF98" s="316"/>
      <c r="AG98" s="316"/>
      <c r="AH98" s="350"/>
    </row>
    <row r="99" spans="1:34" ht="28.8" x14ac:dyDescent="0.3">
      <c r="A99" t="s">
        <v>477</v>
      </c>
      <c r="B99" s="459"/>
      <c r="C99" s="316" t="s">
        <v>439</v>
      </c>
      <c r="D99" s="456"/>
      <c r="E99" s="456" t="s">
        <v>478</v>
      </c>
      <c r="F99" s="316" t="s">
        <v>479</v>
      </c>
      <c r="G99" s="326" t="s">
        <v>899</v>
      </c>
      <c r="H99" s="330"/>
      <c r="I99" s="330" t="s">
        <v>480</v>
      </c>
      <c r="J99" s="330" t="s">
        <v>41</v>
      </c>
      <c r="K99" s="330">
        <v>2</v>
      </c>
      <c r="L99" s="330" t="s">
        <v>53</v>
      </c>
      <c r="M99" s="330" t="s">
        <v>44</v>
      </c>
      <c r="N99" s="330" t="s">
        <v>44</v>
      </c>
      <c r="O99" s="330"/>
      <c r="P99" s="330" t="s">
        <v>45</v>
      </c>
      <c r="Q99" s="330"/>
      <c r="R99" s="330"/>
      <c r="S99" s="348" t="s">
        <v>481</v>
      </c>
      <c r="T99" s="310">
        <v>1</v>
      </c>
      <c r="U99" s="332">
        <v>0</v>
      </c>
      <c r="V99" s="349"/>
      <c r="W99" s="322"/>
      <c r="X99" s="317" cm="1">
        <f t="array" ref="X99">IF(Y99="",W99,_xlfn.XLOOKUP(Y99,$Y$2:Y97,$AC$2:AC97,W99,0,-1))</f>
        <v>0</v>
      </c>
      <c r="Y99" s="316"/>
      <c r="Z99" s="319">
        <v>0.01</v>
      </c>
      <c r="AA99" s="375">
        <f t="shared" si="44"/>
        <v>0</v>
      </c>
      <c r="AB99" s="316">
        <f t="shared" si="45"/>
        <v>0</v>
      </c>
      <c r="AC99" s="316">
        <f t="shared" si="46"/>
        <v>0</v>
      </c>
      <c r="AD99" s="316"/>
      <c r="AE99" s="320">
        <f>AA99/Sankey_diag!$H$62</f>
        <v>0</v>
      </c>
      <c r="AF99" s="316"/>
      <c r="AG99" s="316"/>
      <c r="AH99" s="350"/>
    </row>
    <row r="100" spans="1:34" ht="15" thickBot="1" x14ac:dyDescent="0.35">
      <c r="A100" t="s">
        <v>482</v>
      </c>
      <c r="B100" s="460"/>
      <c r="C100" s="351" t="s">
        <v>439</v>
      </c>
      <c r="D100" s="457"/>
      <c r="E100" s="457"/>
      <c r="F100" s="351" t="s">
        <v>483</v>
      </c>
      <c r="G100" s="353" t="s">
        <v>483</v>
      </c>
      <c r="H100" s="354"/>
      <c r="I100" s="354"/>
      <c r="J100" s="354" t="s">
        <v>41</v>
      </c>
      <c r="K100" s="354">
        <v>3</v>
      </c>
      <c r="L100" s="354" t="s">
        <v>86</v>
      </c>
      <c r="M100" s="354" t="s">
        <v>44</v>
      </c>
      <c r="N100" s="354" t="s">
        <v>44</v>
      </c>
      <c r="O100" s="354"/>
      <c r="P100" s="354" t="s">
        <v>45</v>
      </c>
      <c r="Q100" s="354"/>
      <c r="R100" s="354"/>
      <c r="S100" s="356"/>
      <c r="T100" s="388"/>
      <c r="U100" s="358"/>
      <c r="V100" s="359"/>
      <c r="W100" s="368"/>
      <c r="X100" s="361" cm="1">
        <f t="array" ref="X100">IF(Y100="",W100,_xlfn.XLOOKUP(Y100,$Y$2:Y99,$AC$2:AC99,W100,0,-1))</f>
        <v>0</v>
      </c>
      <c r="Y100" s="351"/>
      <c r="Z100" s="351"/>
      <c r="AA100" s="376">
        <f t="shared" si="44"/>
        <v>0</v>
      </c>
      <c r="AB100" s="351">
        <f t="shared" si="45"/>
        <v>0</v>
      </c>
      <c r="AC100" s="351">
        <f t="shared" si="46"/>
        <v>0</v>
      </c>
      <c r="AD100" s="351"/>
      <c r="AE100" s="362">
        <f>AA100/Sankey_diag!$H$62</f>
        <v>0</v>
      </c>
      <c r="AF100" s="351"/>
      <c r="AG100" s="351" t="s">
        <v>484</v>
      </c>
      <c r="AH100" s="363"/>
    </row>
    <row r="101" spans="1:34" ht="15" thickTop="1" x14ac:dyDescent="0.3">
      <c r="A101" t="s">
        <v>485</v>
      </c>
      <c r="B101" s="458" t="s">
        <v>486</v>
      </c>
      <c r="C101" s="336"/>
      <c r="D101" s="455" t="s">
        <v>487</v>
      </c>
      <c r="E101" s="455" t="s">
        <v>488</v>
      </c>
      <c r="F101" s="336" t="s">
        <v>489</v>
      </c>
      <c r="G101" s="338" t="s">
        <v>900</v>
      </c>
      <c r="H101" s="339"/>
      <c r="I101" s="339"/>
      <c r="J101" s="339" t="s">
        <v>41</v>
      </c>
      <c r="K101" s="339">
        <v>0</v>
      </c>
      <c r="L101" s="339" t="s">
        <v>53</v>
      </c>
      <c r="M101" s="339" t="s">
        <v>44</v>
      </c>
      <c r="N101" s="339" t="s">
        <v>44</v>
      </c>
      <c r="O101" s="339"/>
      <c r="P101" s="339" t="s">
        <v>106</v>
      </c>
      <c r="Q101" s="339"/>
      <c r="R101" s="339"/>
      <c r="S101" s="340" t="s">
        <v>491</v>
      </c>
      <c r="T101" s="390">
        <v>1</v>
      </c>
      <c r="U101" s="342"/>
      <c r="V101" s="343"/>
      <c r="W101" s="344"/>
      <c r="X101" s="345" cm="1">
        <f t="array" ref="X101">IF(Y101="",W101,_xlfn.XLOOKUP(Y101,$Y$2:Y100,$AC$2:AC100,W101,0,-1))</f>
        <v>0</v>
      </c>
      <c r="Y101" s="336"/>
      <c r="Z101" s="336"/>
      <c r="AA101" s="374">
        <f t="shared" si="44"/>
        <v>0</v>
      </c>
      <c r="AB101" s="378">
        <f t="shared" si="45"/>
        <v>0</v>
      </c>
      <c r="AC101" s="378">
        <f t="shared" si="46"/>
        <v>0</v>
      </c>
      <c r="AD101" s="378"/>
      <c r="AE101" s="346">
        <f>AA101/Sankey_diag!$H$62</f>
        <v>0</v>
      </c>
      <c r="AF101" s="378"/>
      <c r="AG101" s="336" t="s">
        <v>492</v>
      </c>
      <c r="AH101" s="347"/>
    </row>
    <row r="102" spans="1:34" ht="28.8" x14ac:dyDescent="0.3">
      <c r="A102" t="s">
        <v>493</v>
      </c>
      <c r="B102" s="459"/>
      <c r="C102" s="316"/>
      <c r="D102" s="456"/>
      <c r="E102" s="456"/>
      <c r="F102" s="316" t="s">
        <v>494</v>
      </c>
      <c r="G102" s="326" t="s">
        <v>495</v>
      </c>
      <c r="H102" s="330"/>
      <c r="I102" s="330" t="s">
        <v>496</v>
      </c>
      <c r="J102" s="330" t="s">
        <v>41</v>
      </c>
      <c r="K102" s="330">
        <v>7</v>
      </c>
      <c r="L102" s="330" t="s">
        <v>86</v>
      </c>
      <c r="M102" s="330" t="s">
        <v>44</v>
      </c>
      <c r="N102" s="330" t="s">
        <v>43</v>
      </c>
      <c r="O102" s="330"/>
      <c r="P102" s="330" t="s">
        <v>106</v>
      </c>
      <c r="Q102" s="330"/>
      <c r="R102" s="330"/>
      <c r="S102" s="348" t="s">
        <v>901</v>
      </c>
      <c r="T102" s="311">
        <v>0.8</v>
      </c>
      <c r="U102" s="332"/>
      <c r="V102" s="349"/>
      <c r="W102" s="322"/>
      <c r="X102" s="317" cm="1">
        <f t="array" ref="X102">IF(Y102="",W102,_xlfn.XLOOKUP(Y102,$Y$2:Y101,$AC$2:AC101,W102,0,-1))</f>
        <v>0</v>
      </c>
      <c r="Y102" s="316"/>
      <c r="Z102" s="316"/>
      <c r="AA102" s="375">
        <f t="shared" si="44"/>
        <v>0</v>
      </c>
      <c r="AB102" s="323">
        <f t="shared" si="45"/>
        <v>0</v>
      </c>
      <c r="AC102" s="323">
        <f t="shared" si="46"/>
        <v>0</v>
      </c>
      <c r="AD102" s="323"/>
      <c r="AE102" s="320">
        <f>AA102/Sankey_diag!$H$62</f>
        <v>0</v>
      </c>
      <c r="AF102" s="323"/>
      <c r="AG102" s="316" t="s">
        <v>492</v>
      </c>
      <c r="AH102" s="350" t="s">
        <v>498</v>
      </c>
    </row>
    <row r="103" spans="1:34" ht="28.8" x14ac:dyDescent="0.3">
      <c r="A103" t="s">
        <v>499</v>
      </c>
      <c r="B103" s="459"/>
      <c r="C103" s="316"/>
      <c r="D103" s="456"/>
      <c r="E103" s="456"/>
      <c r="F103" s="316" t="s">
        <v>500</v>
      </c>
      <c r="G103" s="326" t="s">
        <v>902</v>
      </c>
      <c r="H103" s="330"/>
      <c r="I103" s="330" t="s">
        <v>501</v>
      </c>
      <c r="J103" s="330" t="s">
        <v>41</v>
      </c>
      <c r="K103" s="330">
        <v>8</v>
      </c>
      <c r="L103" s="330" t="s">
        <v>86</v>
      </c>
      <c r="M103" s="330" t="s">
        <v>43</v>
      </c>
      <c r="N103" s="330" t="s">
        <v>43</v>
      </c>
      <c r="O103" s="330" t="s">
        <v>502</v>
      </c>
      <c r="P103" s="330" t="s">
        <v>106</v>
      </c>
      <c r="Q103" s="330"/>
      <c r="R103" s="330"/>
      <c r="S103" s="348" t="s">
        <v>503</v>
      </c>
      <c r="T103" s="311">
        <v>0.1</v>
      </c>
      <c r="U103" s="332"/>
      <c r="V103" s="349"/>
      <c r="W103" s="322">
        <f>Sankey_diag!N38+Sankey_diag!N42</f>
        <v>521.31289218330505</v>
      </c>
      <c r="X103" s="317" cm="1">
        <f t="array" ref="X103">IF(Y103="",W103,_xlfn.XLOOKUP(Y103,$Y$2:Y102,$AC$2:AC102,W103,0,-1))</f>
        <v>521.31289218330505</v>
      </c>
      <c r="Y103" s="316"/>
      <c r="Z103" s="319">
        <v>0.03</v>
      </c>
      <c r="AA103" s="375">
        <f t="shared" si="44"/>
        <v>1.5639386765499153</v>
      </c>
      <c r="AB103" s="323">
        <f t="shared" si="45"/>
        <v>1.5639386765499153</v>
      </c>
      <c r="AC103" s="323">
        <f t="shared" si="46"/>
        <v>519.74895350675513</v>
      </c>
      <c r="AD103" s="323"/>
      <c r="AE103" s="320">
        <f>AA103/Sankey_diag!$H$62</f>
        <v>4.2554075674242406E-4</v>
      </c>
      <c r="AF103" s="323"/>
      <c r="AG103" s="316"/>
      <c r="AH103" s="350"/>
    </row>
    <row r="104" spans="1:34" ht="43.2" x14ac:dyDescent="0.3">
      <c r="A104" t="s">
        <v>504</v>
      </c>
      <c r="B104" s="459"/>
      <c r="C104" s="316"/>
      <c r="D104" s="456"/>
      <c r="E104" s="456"/>
      <c r="F104" s="316" t="s">
        <v>505</v>
      </c>
      <c r="G104" s="326" t="s">
        <v>903</v>
      </c>
      <c r="H104" s="330"/>
      <c r="I104" s="330" t="s">
        <v>507</v>
      </c>
      <c r="J104" s="330" t="s">
        <v>41</v>
      </c>
      <c r="K104" s="330">
        <v>2</v>
      </c>
      <c r="L104" s="330" t="s">
        <v>42</v>
      </c>
      <c r="M104" s="330" t="s">
        <v>43</v>
      </c>
      <c r="N104" s="330" t="s">
        <v>43</v>
      </c>
      <c r="O104" s="330"/>
      <c r="P104" s="330" t="s">
        <v>119</v>
      </c>
      <c r="Q104" s="330"/>
      <c r="R104" s="330"/>
      <c r="S104" s="348" t="s">
        <v>904</v>
      </c>
      <c r="T104" s="310">
        <v>1</v>
      </c>
      <c r="U104" s="332"/>
      <c r="V104" s="349"/>
      <c r="W104" s="322"/>
      <c r="X104" s="317" cm="1">
        <f t="array" ref="X104">IF(Y104="",W104,_xlfn.XLOOKUP(Y104,$Y$2:Y103,$AC$2:AC103,W104,0,-1))</f>
        <v>0</v>
      </c>
      <c r="Y104" s="316"/>
      <c r="Z104" s="316"/>
      <c r="AA104" s="375">
        <f t="shared" si="44"/>
        <v>0</v>
      </c>
      <c r="AB104" s="316">
        <f t="shared" si="45"/>
        <v>0</v>
      </c>
      <c r="AC104" s="316">
        <f t="shared" si="46"/>
        <v>0</v>
      </c>
      <c r="AD104" s="316"/>
      <c r="AE104" s="320">
        <f>AA104/Sankey_diag!$H$62</f>
        <v>0</v>
      </c>
      <c r="AF104" s="316"/>
      <c r="AG104" s="316"/>
      <c r="AH104" s="350"/>
    </row>
    <row r="105" spans="1:34" x14ac:dyDescent="0.3">
      <c r="B105" s="459"/>
      <c r="C105" s="316"/>
      <c r="D105" s="456"/>
      <c r="E105" s="456"/>
      <c r="F105" s="316" t="s">
        <v>508</v>
      </c>
      <c r="G105" s="326" t="s">
        <v>509</v>
      </c>
      <c r="H105" s="330"/>
      <c r="I105" s="330" t="s">
        <v>510</v>
      </c>
      <c r="J105" s="330" t="s">
        <v>52</v>
      </c>
      <c r="K105" s="330"/>
      <c r="L105" s="330" t="s">
        <v>42</v>
      </c>
      <c r="M105" s="330"/>
      <c r="N105" s="330"/>
      <c r="O105" s="330"/>
      <c r="P105" s="330" t="s">
        <v>87</v>
      </c>
      <c r="Q105" s="330"/>
      <c r="R105" s="330"/>
      <c r="S105" s="348" t="s">
        <v>511</v>
      </c>
      <c r="T105" s="310">
        <v>1</v>
      </c>
      <c r="U105" s="332">
        <v>0</v>
      </c>
      <c r="V105" s="349"/>
      <c r="W105" s="324"/>
      <c r="X105" s="317" cm="1">
        <f t="array" ref="X105">IF(Y105="",W105,_xlfn.XLOOKUP(Y105,$Y$2:Y104,$AC$2:AC104,W105,0,-1))</f>
        <v>0</v>
      </c>
      <c r="Y105" s="316"/>
      <c r="Z105" s="316"/>
      <c r="AA105" s="375">
        <f t="shared" si="44"/>
        <v>0</v>
      </c>
      <c r="AB105" s="316">
        <f t="shared" si="45"/>
        <v>0</v>
      </c>
      <c r="AC105" s="316">
        <f t="shared" si="46"/>
        <v>0</v>
      </c>
      <c r="AD105" s="316"/>
      <c r="AE105" s="320">
        <f>AA105/Sankey_diag!$H$62</f>
        <v>0</v>
      </c>
      <c r="AF105" s="316"/>
      <c r="AG105" s="316" t="s">
        <v>512</v>
      </c>
      <c r="AH105" s="350"/>
    </row>
    <row r="106" spans="1:34" x14ac:dyDescent="0.3">
      <c r="B106" s="459"/>
      <c r="C106" s="316"/>
      <c r="D106" s="456"/>
      <c r="E106" s="456"/>
      <c r="F106" s="316" t="s">
        <v>513</v>
      </c>
      <c r="G106" s="326" t="s">
        <v>905</v>
      </c>
      <c r="H106" s="330"/>
      <c r="I106" s="330"/>
      <c r="J106" s="330" t="s">
        <v>52</v>
      </c>
      <c r="K106" s="330"/>
      <c r="L106" s="330" t="s">
        <v>86</v>
      </c>
      <c r="M106" s="330"/>
      <c r="N106" s="330"/>
      <c r="O106" s="330"/>
      <c r="P106" s="330" t="s">
        <v>106</v>
      </c>
      <c r="Q106" s="330"/>
      <c r="R106" s="330"/>
      <c r="S106" s="348" t="s">
        <v>515</v>
      </c>
      <c r="T106" s="310">
        <v>1</v>
      </c>
      <c r="U106" s="332"/>
      <c r="V106" s="349"/>
      <c r="W106" s="324"/>
      <c r="X106" s="317" cm="1">
        <f t="array" ref="X106">IF(Y106="",W106,_xlfn.XLOOKUP(Y106,$Y$2:Y104,$AC$2:AC104,W106,0,-1))</f>
        <v>0</v>
      </c>
      <c r="Y106" s="316"/>
      <c r="Z106" s="316"/>
      <c r="AA106" s="375">
        <f t="shared" si="44"/>
        <v>0</v>
      </c>
      <c r="AB106" s="316">
        <f t="shared" si="45"/>
        <v>0</v>
      </c>
      <c r="AC106" s="316">
        <f t="shared" si="46"/>
        <v>0</v>
      </c>
      <c r="AD106" s="316"/>
      <c r="AE106" s="320">
        <f>AA106/Sankey_diag!$H$62</f>
        <v>0</v>
      </c>
      <c r="AF106" s="316"/>
      <c r="AG106" s="316" t="s">
        <v>516</v>
      </c>
      <c r="AH106" s="350" t="s">
        <v>77</v>
      </c>
    </row>
    <row r="107" spans="1:34" x14ac:dyDescent="0.3">
      <c r="B107" s="459"/>
      <c r="C107" s="316"/>
      <c r="D107" s="456"/>
      <c r="E107" s="456"/>
      <c r="F107" s="316" t="s">
        <v>517</v>
      </c>
      <c r="G107" s="326" t="s">
        <v>2626</v>
      </c>
      <c r="H107" s="330"/>
      <c r="I107" s="330" t="s">
        <v>518</v>
      </c>
      <c r="J107" s="330" t="s">
        <v>52</v>
      </c>
      <c r="K107" s="330"/>
      <c r="L107" s="330" t="s">
        <v>86</v>
      </c>
      <c r="M107" s="330"/>
      <c r="N107" s="330"/>
      <c r="O107" s="330"/>
      <c r="P107" s="330" t="s">
        <v>87</v>
      </c>
      <c r="Q107" s="330"/>
      <c r="R107" s="330"/>
      <c r="S107" s="348" t="s">
        <v>519</v>
      </c>
      <c r="T107" s="310">
        <v>1</v>
      </c>
      <c r="U107" s="332"/>
      <c r="V107" s="349"/>
      <c r="W107" s="324"/>
      <c r="X107" s="317" cm="1">
        <f t="array" ref="X107">IF(Y107="",W107,_xlfn.XLOOKUP(Y107,$Y$2:Y106,$AC$2:AC106,W107,0,-1))</f>
        <v>0</v>
      </c>
      <c r="Y107" s="316"/>
      <c r="Z107" s="316"/>
      <c r="AA107" s="375">
        <f>(T107-U107)*Z107*W107</f>
        <v>0</v>
      </c>
      <c r="AB107" s="316">
        <f t="shared" si="45"/>
        <v>0</v>
      </c>
      <c r="AC107" s="316">
        <f t="shared" si="46"/>
        <v>0</v>
      </c>
      <c r="AD107" s="316"/>
      <c r="AE107" s="320">
        <f>AA107/Sankey_diag!$H$62</f>
        <v>0</v>
      </c>
      <c r="AF107" s="316"/>
      <c r="AG107" s="330" t="s">
        <v>520</v>
      </c>
      <c r="AH107" s="350" t="s">
        <v>516</v>
      </c>
    </row>
    <row r="108" spans="1:34" x14ac:dyDescent="0.3">
      <c r="B108" s="459"/>
      <c r="C108" s="316"/>
      <c r="D108" s="456"/>
      <c r="E108" s="456"/>
      <c r="F108" s="316" t="s">
        <v>521</v>
      </c>
      <c r="G108" s="326" t="s">
        <v>522</v>
      </c>
      <c r="H108" s="330"/>
      <c r="I108" s="330" t="s">
        <v>523</v>
      </c>
      <c r="J108" s="330" t="s">
        <v>52</v>
      </c>
      <c r="K108" s="330"/>
      <c r="L108" s="330" t="s">
        <v>86</v>
      </c>
      <c r="M108" s="330" t="s">
        <v>111</v>
      </c>
      <c r="N108" s="330" t="s">
        <v>111</v>
      </c>
      <c r="O108" s="330"/>
      <c r="P108" s="330" t="s">
        <v>106</v>
      </c>
      <c r="Q108" s="330"/>
      <c r="R108" s="330"/>
      <c r="S108" s="348" t="s">
        <v>524</v>
      </c>
      <c r="T108" s="310">
        <f>250*4</f>
        <v>1000</v>
      </c>
      <c r="U108" s="332"/>
      <c r="V108" s="349"/>
      <c r="W108" s="324"/>
      <c r="X108" s="317" cm="1">
        <f t="array" ref="X108">IF(Y108="",W108,_xlfn.XLOOKUP(Y108,$Y$2:Y106,$AC$2:AC106,W108,0,-1))</f>
        <v>0</v>
      </c>
      <c r="Y108" s="316"/>
      <c r="Z108" s="316"/>
      <c r="AA108" s="375">
        <f>0.25*T108/250</f>
        <v>1</v>
      </c>
      <c r="AB108" s="316">
        <f>(T108-U108)*AA108*X108</f>
        <v>0</v>
      </c>
      <c r="AC108" s="316">
        <f t="shared" si="46"/>
        <v>0</v>
      </c>
      <c r="AD108" s="316"/>
      <c r="AE108" s="320" t="e">
        <f>#REF!/Sankey_diag!$H$62</f>
        <v>#REF!</v>
      </c>
      <c r="AF108" s="316"/>
      <c r="AG108" s="316" t="s">
        <v>516</v>
      </c>
      <c r="AH108" s="350" t="s">
        <v>525</v>
      </c>
    </row>
    <row r="109" spans="1:34" ht="28.8" x14ac:dyDescent="0.3">
      <c r="B109" s="459"/>
      <c r="C109" s="316"/>
      <c r="D109" s="456"/>
      <c r="E109" s="456"/>
      <c r="F109" s="316"/>
      <c r="G109" s="326" t="s">
        <v>906</v>
      </c>
      <c r="H109" s="330"/>
      <c r="I109" s="330"/>
      <c r="J109" s="330"/>
      <c r="K109" s="330"/>
      <c r="L109" s="330"/>
      <c r="M109" s="330"/>
      <c r="N109" s="330"/>
      <c r="O109" s="330"/>
      <c r="P109" s="330"/>
      <c r="Q109" s="330"/>
      <c r="R109" s="330"/>
      <c r="S109" s="348" t="s">
        <v>529</v>
      </c>
      <c r="T109" s="397">
        <v>75</v>
      </c>
      <c r="U109" s="332"/>
      <c r="V109" s="349"/>
      <c r="W109" s="324"/>
      <c r="X109" s="317"/>
      <c r="Y109" s="316"/>
      <c r="Z109" s="316"/>
      <c r="AA109" s="375">
        <f>0.025*T109</f>
        <v>1.875</v>
      </c>
      <c r="AB109" s="316"/>
      <c r="AC109" s="316"/>
      <c r="AD109" s="316"/>
      <c r="AE109" s="320"/>
      <c r="AF109" s="316"/>
      <c r="AG109" s="316"/>
      <c r="AH109" s="350"/>
    </row>
    <row r="110" spans="1:34" ht="28.8" x14ac:dyDescent="0.3">
      <c r="B110" s="459"/>
      <c r="C110" s="316"/>
      <c r="D110" s="456"/>
      <c r="E110" s="456"/>
      <c r="F110" s="316" t="s">
        <v>526</v>
      </c>
      <c r="G110" s="326" t="s">
        <v>907</v>
      </c>
      <c r="H110" s="330"/>
      <c r="I110" s="330" t="s">
        <v>528</v>
      </c>
      <c r="J110" s="330" t="s">
        <v>52</v>
      </c>
      <c r="K110" s="330"/>
      <c r="L110" s="330" t="s">
        <v>53</v>
      </c>
      <c r="M110" s="330" t="s">
        <v>111</v>
      </c>
      <c r="N110" s="330" t="s">
        <v>111</v>
      </c>
      <c r="O110" s="330"/>
      <c r="P110" s="330" t="s">
        <v>106</v>
      </c>
      <c r="Q110" s="330"/>
      <c r="R110" s="330"/>
      <c r="S110" s="348" t="s">
        <v>529</v>
      </c>
      <c r="T110" s="310">
        <v>75</v>
      </c>
      <c r="U110" s="332"/>
      <c r="V110" s="349"/>
      <c r="W110" s="324"/>
      <c r="X110" s="317" cm="1">
        <f t="array" ref="X110">IF(Y110="",W110,_xlfn.XLOOKUP(Y110,$Y$2:Y108,$AC$2:AC108,W110,0,-1))</f>
        <v>0</v>
      </c>
      <c r="Y110" s="316"/>
      <c r="Z110" s="316"/>
      <c r="AA110" s="375">
        <f>0.025*T110</f>
        <v>1.875</v>
      </c>
      <c r="AB110" s="316">
        <f>(T110-U110)*AA110*X110</f>
        <v>0</v>
      </c>
      <c r="AC110" s="316">
        <f t="shared" si="46"/>
        <v>0</v>
      </c>
      <c r="AD110" s="316"/>
      <c r="AE110" s="320" t="e">
        <f>#REF!/Sankey_diag!$H$62</f>
        <v>#REF!</v>
      </c>
      <c r="AF110" s="316"/>
      <c r="AG110" s="316" t="s">
        <v>530</v>
      </c>
      <c r="AH110" s="350"/>
    </row>
    <row r="111" spans="1:34" ht="28.8" x14ac:dyDescent="0.3">
      <c r="B111" s="459"/>
      <c r="C111" s="316"/>
      <c r="D111" s="456"/>
      <c r="E111" s="456"/>
      <c r="F111" s="316" t="s">
        <v>531</v>
      </c>
      <c r="G111" s="327" t="s">
        <v>532</v>
      </c>
      <c r="H111" s="330"/>
      <c r="I111" s="330" t="s">
        <v>533</v>
      </c>
      <c r="J111" s="330" t="s">
        <v>52</v>
      </c>
      <c r="K111" s="330"/>
      <c r="L111" s="330" t="s">
        <v>53</v>
      </c>
      <c r="M111" s="330"/>
      <c r="N111" s="330"/>
      <c r="O111" s="330"/>
      <c r="P111" s="330" t="s">
        <v>106</v>
      </c>
      <c r="Q111" s="330"/>
      <c r="R111" s="330"/>
      <c r="S111" s="348" t="s">
        <v>534</v>
      </c>
      <c r="T111" s="310">
        <v>150</v>
      </c>
      <c r="U111" s="332"/>
      <c r="V111" s="349"/>
      <c r="W111" s="322"/>
      <c r="X111" s="317" cm="1">
        <f t="array" ref="X111">IF(Y111="",W111,_xlfn.XLOOKUP(Y111,$Y$2:Y110,$AC$2:AC110,W111,0,-1))</f>
        <v>0</v>
      </c>
      <c r="Y111" s="316"/>
      <c r="Z111" s="316"/>
      <c r="AA111" s="375">
        <f>0.025*T111</f>
        <v>3.75</v>
      </c>
      <c r="AB111" s="316">
        <f>(T111-U111)*AA111*X111</f>
        <v>0</v>
      </c>
      <c r="AC111" s="316">
        <f t="shared" si="46"/>
        <v>0</v>
      </c>
      <c r="AD111" s="316"/>
      <c r="AE111" s="320" t="e">
        <f>#REF!/Sankey_diag!$H$62</f>
        <v>#REF!</v>
      </c>
      <c r="AF111" s="316"/>
      <c r="AG111" s="316" t="s">
        <v>535</v>
      </c>
      <c r="AH111" s="350"/>
    </row>
    <row r="112" spans="1:34" ht="29.1" customHeight="1" x14ac:dyDescent="0.3">
      <c r="A112" t="s">
        <v>536</v>
      </c>
      <c r="B112" s="459"/>
      <c r="C112" s="316"/>
      <c r="D112" s="456"/>
      <c r="E112" s="575" t="s">
        <v>537</v>
      </c>
      <c r="F112" s="316" t="s">
        <v>538</v>
      </c>
      <c r="G112" s="326" t="s">
        <v>908</v>
      </c>
      <c r="H112" s="330"/>
      <c r="I112" s="330" t="s">
        <v>540</v>
      </c>
      <c r="J112" s="330" t="s">
        <v>41</v>
      </c>
      <c r="K112" s="330">
        <v>2</v>
      </c>
      <c r="L112" s="330" t="s">
        <v>86</v>
      </c>
      <c r="M112" s="330" t="s">
        <v>44</v>
      </c>
      <c r="N112" s="330" t="s">
        <v>44</v>
      </c>
      <c r="O112" s="330" t="s">
        <v>541</v>
      </c>
      <c r="P112" s="330" t="s">
        <v>45</v>
      </c>
      <c r="Q112" s="330"/>
      <c r="R112" s="330"/>
      <c r="S112" s="348" t="s">
        <v>542</v>
      </c>
      <c r="T112" s="310">
        <v>1</v>
      </c>
      <c r="U112" s="332"/>
      <c r="V112" s="349"/>
      <c r="W112" s="322"/>
      <c r="X112" s="317" cm="1">
        <f t="array" ref="X112">IF(Y112="",W112,_xlfn.XLOOKUP(Y112,$Y$2:Y111,$AC$2:AC111,W112,0,-1))</f>
        <v>0</v>
      </c>
      <c r="Y112" s="316"/>
      <c r="Z112" s="316"/>
      <c r="AA112" s="375">
        <f t="shared" ref="AA112:AA116" si="47">(T112-U112)*Z112*W112</f>
        <v>0</v>
      </c>
      <c r="AB112" s="323">
        <f t="shared" ref="AB112:AB116" si="48">(T112-U112)*Z112*X112</f>
        <v>0</v>
      </c>
      <c r="AC112" s="323">
        <f t="shared" si="46"/>
        <v>0</v>
      </c>
      <c r="AD112" s="323"/>
      <c r="AE112" s="320">
        <f>AA112/Sankey_diag!$H$62</f>
        <v>0</v>
      </c>
      <c r="AF112" s="323"/>
      <c r="AG112" s="316" t="s">
        <v>77</v>
      </c>
      <c r="AH112" s="350" t="s">
        <v>498</v>
      </c>
    </row>
    <row r="113" spans="1:34" x14ac:dyDescent="0.3">
      <c r="A113" t="s">
        <v>543</v>
      </c>
      <c r="B113" s="459"/>
      <c r="C113" s="316"/>
      <c r="D113" s="456"/>
      <c r="E113" s="576"/>
      <c r="F113" s="316" t="s">
        <v>544</v>
      </c>
      <c r="G113" s="326" t="s">
        <v>545</v>
      </c>
      <c r="H113" s="330"/>
      <c r="I113" s="330" t="s">
        <v>546</v>
      </c>
      <c r="J113" s="330" t="s">
        <v>41</v>
      </c>
      <c r="K113" s="330">
        <v>10</v>
      </c>
      <c r="L113" s="330" t="s">
        <v>53</v>
      </c>
      <c r="M113" s="330" t="s">
        <v>44</v>
      </c>
      <c r="N113" s="330" t="s">
        <v>44</v>
      </c>
      <c r="O113" s="330" t="s">
        <v>547</v>
      </c>
      <c r="P113" s="330" t="s">
        <v>106</v>
      </c>
      <c r="Q113" s="330"/>
      <c r="R113" s="330"/>
      <c r="S113" s="348" t="s">
        <v>548</v>
      </c>
      <c r="T113" s="310">
        <v>10</v>
      </c>
      <c r="U113" s="332"/>
      <c r="V113" s="349"/>
      <c r="W113" s="322"/>
      <c r="X113" s="317" cm="1">
        <f t="array" ref="X113">IF(Y113="",W113,_xlfn.XLOOKUP(Y113,$Y$2:Y112,$AC$2:AC112,W113,0,-1))</f>
        <v>0</v>
      </c>
      <c r="Y113" s="316"/>
      <c r="Z113" s="316"/>
      <c r="AA113" s="375">
        <f t="shared" si="47"/>
        <v>0</v>
      </c>
      <c r="AB113" s="316">
        <f t="shared" si="48"/>
        <v>0</v>
      </c>
      <c r="AC113" s="316">
        <f t="shared" si="46"/>
        <v>0</v>
      </c>
      <c r="AD113" s="316"/>
      <c r="AE113" s="320">
        <f>AA113/Sankey_diag!$H$62</f>
        <v>0</v>
      </c>
      <c r="AF113" s="316"/>
      <c r="AG113" s="316" t="s">
        <v>516</v>
      </c>
      <c r="AH113" s="350" t="s">
        <v>429</v>
      </c>
    </row>
    <row r="114" spans="1:34" ht="28.8" x14ac:dyDescent="0.3">
      <c r="B114" s="574"/>
      <c r="C114" s="398"/>
      <c r="D114" s="575"/>
      <c r="E114" s="573"/>
      <c r="F114" s="398"/>
      <c r="G114" s="399" t="s">
        <v>909</v>
      </c>
      <c r="H114" s="400"/>
      <c r="I114" s="400"/>
      <c r="J114" s="400"/>
      <c r="K114" s="400"/>
      <c r="L114" s="400"/>
      <c r="M114" s="400"/>
      <c r="N114" s="400"/>
      <c r="O114" s="400"/>
      <c r="P114" s="400"/>
      <c r="Q114" s="400"/>
      <c r="R114" s="400"/>
      <c r="S114" s="401" t="s">
        <v>910</v>
      </c>
      <c r="T114" s="410">
        <v>1</v>
      </c>
      <c r="U114" s="402"/>
      <c r="V114" s="403"/>
      <c r="W114" s="404"/>
      <c r="X114" s="405"/>
      <c r="Y114" s="398"/>
      <c r="Z114" s="398"/>
      <c r="AA114" s="407"/>
      <c r="AB114" s="398"/>
      <c r="AC114" s="398"/>
      <c r="AD114" s="398"/>
      <c r="AE114" s="408"/>
      <c r="AF114" s="398"/>
      <c r="AG114" s="398"/>
      <c r="AH114" s="409"/>
    </row>
    <row r="115" spans="1:34" ht="43.8" thickBot="1" x14ac:dyDescent="0.35">
      <c r="A115" t="s">
        <v>549</v>
      </c>
      <c r="B115" s="460"/>
      <c r="C115" s="351"/>
      <c r="D115" s="457"/>
      <c r="E115" s="352" t="s">
        <v>550</v>
      </c>
      <c r="F115" s="351" t="s">
        <v>551</v>
      </c>
      <c r="G115" s="353" t="s">
        <v>552</v>
      </c>
      <c r="H115" s="354"/>
      <c r="I115" s="354" t="s">
        <v>553</v>
      </c>
      <c r="J115" s="354" t="s">
        <v>41</v>
      </c>
      <c r="K115" s="354">
        <v>3</v>
      </c>
      <c r="L115" s="354" t="s">
        <v>86</v>
      </c>
      <c r="M115" s="354" t="s">
        <v>43</v>
      </c>
      <c r="N115" s="354" t="s">
        <v>43</v>
      </c>
      <c r="O115" s="354" t="s">
        <v>554</v>
      </c>
      <c r="P115" s="354" t="s">
        <v>106</v>
      </c>
      <c r="Q115" s="354"/>
      <c r="R115" s="354"/>
      <c r="S115" s="356" t="s">
        <v>911</v>
      </c>
      <c r="T115" s="357">
        <v>0.8</v>
      </c>
      <c r="U115" s="358"/>
      <c r="V115" s="359"/>
      <c r="W115" s="368"/>
      <c r="X115" s="361" cm="1">
        <f t="array" ref="X115">IF(Y115="",W115,_xlfn.XLOOKUP(Y115,$Y$2:Y113,$AC$2:AC113,W115,0,-1))</f>
        <v>0</v>
      </c>
      <c r="Y115" s="351"/>
      <c r="Z115" s="351"/>
      <c r="AA115" s="376">
        <f t="shared" si="47"/>
        <v>0</v>
      </c>
      <c r="AB115" s="351">
        <f t="shared" si="48"/>
        <v>0</v>
      </c>
      <c r="AC115" s="351">
        <f t="shared" si="46"/>
        <v>0</v>
      </c>
      <c r="AD115" s="351"/>
      <c r="AE115" s="362">
        <f>AA115/Sankey_diag!$H$62</f>
        <v>0</v>
      </c>
      <c r="AF115" s="351"/>
      <c r="AG115" s="351" t="s">
        <v>516</v>
      </c>
      <c r="AH115" s="363" t="s">
        <v>71</v>
      </c>
    </row>
    <row r="116" spans="1:34" ht="29.4" customHeight="1" thickTop="1" x14ac:dyDescent="0.3">
      <c r="A116" t="s">
        <v>555</v>
      </c>
      <c r="B116" s="458" t="s">
        <v>556</v>
      </c>
      <c r="C116" s="336" t="s">
        <v>557</v>
      </c>
      <c r="D116" s="455" t="s">
        <v>912</v>
      </c>
      <c r="E116" s="455" t="s">
        <v>2611</v>
      </c>
      <c r="F116" s="336" t="s">
        <v>559</v>
      </c>
      <c r="G116" s="338" t="s">
        <v>913</v>
      </c>
      <c r="H116" s="339"/>
      <c r="I116" s="339" t="s">
        <v>560</v>
      </c>
      <c r="J116" s="339" t="s">
        <v>41</v>
      </c>
      <c r="K116" s="339"/>
      <c r="L116" s="339" t="s">
        <v>42</v>
      </c>
      <c r="M116" s="339" t="s">
        <v>111</v>
      </c>
      <c r="N116" s="339" t="s">
        <v>111</v>
      </c>
      <c r="O116" s="339"/>
      <c r="P116" s="339" t="s">
        <v>45</v>
      </c>
      <c r="Q116" s="339"/>
      <c r="R116" s="339"/>
      <c r="S116" s="340" t="s">
        <v>561</v>
      </c>
      <c r="T116" s="364">
        <f>90%/16*11</f>
        <v>0.61875000000000002</v>
      </c>
      <c r="U116" s="370">
        <f>5/52</f>
        <v>9.6153846153846159E-2</v>
      </c>
      <c r="V116" s="343">
        <v>2024</v>
      </c>
      <c r="W116" s="344">
        <f>SUM(Sankey_diag!$N$23:$N$28)</f>
        <v>198.35</v>
      </c>
      <c r="X116" s="345" cm="1">
        <f t="array" ref="X116">IF(Y116="",W116,_xlfn.XLOOKUP(Y116,$Y$2:Y115,$AC$2:AC115,W116,0,-1))</f>
        <v>198.35</v>
      </c>
      <c r="Y116" s="336">
        <v>10</v>
      </c>
      <c r="Z116" s="371">
        <f>(0.16*0.03/0.17-1)*-1</f>
        <v>0.97176470588235297</v>
      </c>
      <c r="AA116" s="374">
        <f t="shared" si="47"/>
        <v>100.73016272624434</v>
      </c>
      <c r="AB116" s="336">
        <f t="shared" si="48"/>
        <v>100.73016272624434</v>
      </c>
      <c r="AC116" s="336">
        <f t="shared" si="46"/>
        <v>97.61983727375565</v>
      </c>
      <c r="AD116" s="336"/>
      <c r="AE116" s="346">
        <f>AA116/Sankey_diag!$H$62</f>
        <v>2.7408229181897496E-2</v>
      </c>
      <c r="AF116" s="336"/>
      <c r="AG116" s="336" t="s">
        <v>562</v>
      </c>
      <c r="AH116" s="347" t="s">
        <v>77</v>
      </c>
    </row>
    <row r="117" spans="1:34" x14ac:dyDescent="0.3">
      <c r="A117" t="s">
        <v>563</v>
      </c>
      <c r="B117" s="459"/>
      <c r="C117" s="316" t="s">
        <v>557</v>
      </c>
      <c r="D117" s="456"/>
      <c r="E117" s="456"/>
      <c r="F117" s="316" t="s">
        <v>564</v>
      </c>
      <c r="G117" s="326" t="s">
        <v>565</v>
      </c>
      <c r="H117" s="330"/>
      <c r="I117" s="330"/>
      <c r="J117" s="330" t="s">
        <v>41</v>
      </c>
      <c r="K117" s="330">
        <v>0</v>
      </c>
      <c r="L117" s="330" t="s">
        <v>86</v>
      </c>
      <c r="M117" s="330" t="s">
        <v>43</v>
      </c>
      <c r="N117" s="330" t="s">
        <v>43</v>
      </c>
      <c r="O117" s="330" t="s">
        <v>566</v>
      </c>
      <c r="P117" s="330" t="s">
        <v>45</v>
      </c>
      <c r="Q117" s="330"/>
      <c r="R117" s="330"/>
      <c r="S117" s="348" t="s">
        <v>567</v>
      </c>
      <c r="T117" s="310"/>
      <c r="U117" s="332"/>
      <c r="V117" s="349"/>
      <c r="W117" s="316"/>
      <c r="X117" s="316"/>
      <c r="Y117" s="316"/>
      <c r="Z117" s="316"/>
      <c r="AA117" s="375"/>
      <c r="AB117" s="316"/>
      <c r="AC117" s="316"/>
      <c r="AD117" s="316"/>
      <c r="AE117" s="320">
        <f>AA117/Sankey_diag!$H$62</f>
        <v>0</v>
      </c>
      <c r="AF117" s="316"/>
      <c r="AG117" s="316"/>
      <c r="AH117" s="350"/>
    </row>
    <row r="118" spans="1:34" ht="14.4" customHeight="1" x14ac:dyDescent="0.3">
      <c r="A118" t="s">
        <v>568</v>
      </c>
      <c r="B118" s="459"/>
      <c r="C118" s="316" t="s">
        <v>569</v>
      </c>
      <c r="D118" s="456"/>
      <c r="E118" s="575" t="s">
        <v>570</v>
      </c>
      <c r="F118" s="316" t="s">
        <v>571</v>
      </c>
      <c r="G118" s="326" t="s">
        <v>2607</v>
      </c>
      <c r="H118" s="330"/>
      <c r="I118" s="330" t="s">
        <v>573</v>
      </c>
      <c r="J118" s="330" t="s">
        <v>41</v>
      </c>
      <c r="K118" s="330">
        <v>0</v>
      </c>
      <c r="L118" s="330" t="s">
        <v>53</v>
      </c>
      <c r="M118" s="330" t="s">
        <v>574</v>
      </c>
      <c r="N118" s="330" t="s">
        <v>574</v>
      </c>
      <c r="O118" s="330" t="s">
        <v>566</v>
      </c>
      <c r="P118" s="330" t="s">
        <v>45</v>
      </c>
      <c r="Q118" s="330"/>
      <c r="R118" s="330"/>
      <c r="S118" s="348" t="s">
        <v>575</v>
      </c>
      <c r="T118" s="312"/>
      <c r="U118" s="332"/>
      <c r="V118" s="349"/>
      <c r="W118" s="322">
        <f>Sankey_diag!K3</f>
        <v>633.02056871462128</v>
      </c>
      <c r="X118" s="317" cm="1">
        <f t="array" ref="X118">IF(Y118="",W118,_xlfn.XLOOKUP(Y118,$Y$2:Y117,$AC$2:AC117,W118,0,-1))</f>
        <v>633.02056871462128</v>
      </c>
      <c r="Y118" s="316"/>
      <c r="Z118" s="319">
        <v>0.01</v>
      </c>
      <c r="AA118" s="375">
        <f>Z118*W118</f>
        <v>6.3302056871462131</v>
      </c>
      <c r="AB118" s="384">
        <f>Z118*X118</f>
        <v>6.3302056871462131</v>
      </c>
      <c r="AC118" s="316">
        <f t="shared" ref="AC118" si="49">X118-AB118</f>
        <v>626.69036302747509</v>
      </c>
      <c r="AD118" s="316"/>
      <c r="AE118" s="320">
        <f>AA118/Sankey_diag!$H$62</f>
        <v>1.7224208076917016E-3</v>
      </c>
      <c r="AF118" s="316"/>
      <c r="AG118" s="316"/>
      <c r="AH118" s="350"/>
    </row>
    <row r="119" spans="1:34" x14ac:dyDescent="0.3">
      <c r="A119" t="s">
        <v>576</v>
      </c>
      <c r="B119" s="459"/>
      <c r="C119" s="316" t="s">
        <v>557</v>
      </c>
      <c r="D119" s="456"/>
      <c r="E119" s="576"/>
      <c r="F119" s="316" t="s">
        <v>577</v>
      </c>
      <c r="G119" s="326" t="s">
        <v>577</v>
      </c>
      <c r="H119" s="330"/>
      <c r="I119" s="330"/>
      <c r="J119" s="330" t="s">
        <v>41</v>
      </c>
      <c r="K119" s="330">
        <v>0</v>
      </c>
      <c r="L119" s="330" t="s">
        <v>42</v>
      </c>
      <c r="M119" s="330" t="s">
        <v>44</v>
      </c>
      <c r="N119" s="330" t="s">
        <v>44</v>
      </c>
      <c r="O119" s="330"/>
      <c r="P119" s="330" t="s">
        <v>87</v>
      </c>
      <c r="Q119" s="330"/>
      <c r="R119" s="330"/>
      <c r="S119" s="348" t="s">
        <v>578</v>
      </c>
      <c r="T119" s="312">
        <v>0.01</v>
      </c>
      <c r="U119" s="332"/>
      <c r="V119" s="349"/>
      <c r="W119" s="322"/>
      <c r="X119" s="317"/>
      <c r="Y119" s="316"/>
      <c r="Z119" s="380"/>
      <c r="AA119" s="375"/>
      <c r="AB119" s="316"/>
      <c r="AC119" s="316"/>
      <c r="AD119" s="316"/>
      <c r="AE119" s="320">
        <f>AA119/Sankey_diag!$H$62</f>
        <v>0</v>
      </c>
      <c r="AF119" s="316"/>
      <c r="AG119" s="316"/>
      <c r="AH119" s="350"/>
    </row>
    <row r="120" spans="1:34" x14ac:dyDescent="0.3">
      <c r="A120" t="s">
        <v>579</v>
      </c>
      <c r="B120" s="459"/>
      <c r="C120" s="316" t="s">
        <v>557</v>
      </c>
      <c r="D120" s="456"/>
      <c r="E120" s="576"/>
      <c r="F120" s="316" t="s">
        <v>580</v>
      </c>
      <c r="G120" s="326" t="s">
        <v>580</v>
      </c>
      <c r="H120" s="330"/>
      <c r="I120" s="330"/>
      <c r="J120" s="330" t="s">
        <v>41</v>
      </c>
      <c r="K120" s="330">
        <v>3</v>
      </c>
      <c r="L120" s="330" t="s">
        <v>42</v>
      </c>
      <c r="M120" s="330" t="s">
        <v>43</v>
      </c>
      <c r="N120" s="330" t="s">
        <v>44</v>
      </c>
      <c r="O120" s="330" t="s">
        <v>581</v>
      </c>
      <c r="P120" s="330" t="s">
        <v>119</v>
      </c>
      <c r="Q120" s="330"/>
      <c r="R120" s="330"/>
      <c r="S120" s="348" t="s">
        <v>582</v>
      </c>
      <c r="T120" s="312">
        <v>0.3</v>
      </c>
      <c r="U120" s="334">
        <v>0</v>
      </c>
      <c r="V120" s="349"/>
      <c r="W120" s="322"/>
      <c r="X120" s="317"/>
      <c r="Y120" s="316"/>
      <c r="Z120" s="319"/>
      <c r="AA120" s="375"/>
      <c r="AB120" s="316"/>
      <c r="AC120" s="316"/>
      <c r="AD120" s="316"/>
      <c r="AE120" s="320">
        <f>AA120/Sankey_diag!$H$62</f>
        <v>0</v>
      </c>
      <c r="AF120" s="316"/>
      <c r="AG120" s="316"/>
      <c r="AH120" s="350"/>
    </row>
    <row r="121" spans="1:34" ht="28.8" x14ac:dyDescent="0.3">
      <c r="A121" t="s">
        <v>583</v>
      </c>
      <c r="B121" s="459"/>
      <c r="C121" s="316" t="s">
        <v>584</v>
      </c>
      <c r="D121" s="456"/>
      <c r="E121" s="576"/>
      <c r="F121" s="316" t="s">
        <v>585</v>
      </c>
      <c r="G121" s="326" t="s">
        <v>914</v>
      </c>
      <c r="H121" s="330"/>
      <c r="I121" s="330"/>
      <c r="J121" s="330" t="s">
        <v>41</v>
      </c>
      <c r="K121" s="330">
        <v>1</v>
      </c>
      <c r="L121" s="330" t="s">
        <v>53</v>
      </c>
      <c r="M121" s="330" t="s">
        <v>44</v>
      </c>
      <c r="N121" s="330" t="s">
        <v>44</v>
      </c>
      <c r="O121" s="330"/>
      <c r="P121" s="330" t="s">
        <v>45</v>
      </c>
      <c r="Q121" s="330"/>
      <c r="R121" s="330"/>
      <c r="S121" s="348" t="s">
        <v>586</v>
      </c>
      <c r="T121" s="312">
        <v>0.9</v>
      </c>
      <c r="U121" s="332"/>
      <c r="V121" s="349"/>
      <c r="W121" s="322"/>
      <c r="X121" s="317" cm="1">
        <f t="array" ref="X121">IF(Y121="",W121,_xlfn.XLOOKUP(Y121,$Y$2:Y120,$AC$2:AC120,W121,0,-1))</f>
        <v>0</v>
      </c>
      <c r="Y121" s="316"/>
      <c r="Z121" s="318">
        <v>1</v>
      </c>
      <c r="AA121" s="375">
        <f t="shared" ref="AA121" si="50">(T121-U121)*Z121*W121</f>
        <v>0</v>
      </c>
      <c r="AB121" s="316">
        <f t="shared" ref="AB121" si="51">(T121-U121)*Z121*X121</f>
        <v>0</v>
      </c>
      <c r="AC121" s="316">
        <f t="shared" ref="AC121" si="52">X121-AB121</f>
        <v>0</v>
      </c>
      <c r="AD121" s="316"/>
      <c r="AE121" s="320">
        <f>AA121/Sankey_diag!$H$62</f>
        <v>0</v>
      </c>
      <c r="AF121" s="316"/>
      <c r="AG121" s="316"/>
      <c r="AH121" s="350"/>
    </row>
    <row r="122" spans="1:34" x14ac:dyDescent="0.3">
      <c r="B122" s="459"/>
      <c r="C122" s="316" t="s">
        <v>569</v>
      </c>
      <c r="D122" s="456"/>
      <c r="E122" s="576"/>
      <c r="F122" s="391" t="s">
        <v>587</v>
      </c>
      <c r="G122" s="329" t="s">
        <v>588</v>
      </c>
      <c r="H122" s="330"/>
      <c r="I122" s="330"/>
      <c r="J122" s="330" t="s">
        <v>52</v>
      </c>
      <c r="K122" s="330"/>
      <c r="L122" s="330" t="s">
        <v>86</v>
      </c>
      <c r="M122" s="330" t="s">
        <v>43</v>
      </c>
      <c r="N122" s="330" t="s">
        <v>43</v>
      </c>
      <c r="O122" s="330"/>
      <c r="P122" s="330" t="s">
        <v>45</v>
      </c>
      <c r="Q122" s="330"/>
      <c r="R122" s="330"/>
      <c r="S122" s="348" t="s">
        <v>589</v>
      </c>
      <c r="T122" s="312">
        <v>0.5</v>
      </c>
      <c r="U122" s="332" t="s">
        <v>590</v>
      </c>
      <c r="V122" s="349"/>
      <c r="W122" s="322"/>
      <c r="X122" s="317"/>
      <c r="Y122" s="316"/>
      <c r="Z122" s="319"/>
      <c r="AA122" s="375"/>
      <c r="AB122" s="316"/>
      <c r="AC122" s="316"/>
      <c r="AD122" s="316"/>
      <c r="AE122" s="320">
        <f>AA122/Sankey_diag!$H$62</f>
        <v>0</v>
      </c>
      <c r="AF122" s="316"/>
      <c r="AG122" s="330" t="s">
        <v>591</v>
      </c>
      <c r="AH122" s="350" t="s">
        <v>592</v>
      </c>
    </row>
    <row r="123" spans="1:34" ht="43.2" x14ac:dyDescent="0.3">
      <c r="B123" s="459"/>
      <c r="C123" s="316" t="s">
        <v>569</v>
      </c>
      <c r="D123" s="456"/>
      <c r="E123" s="576"/>
      <c r="F123" s="316" t="s">
        <v>593</v>
      </c>
      <c r="G123" s="326" t="s">
        <v>2857</v>
      </c>
      <c r="H123" s="330"/>
      <c r="I123" s="330" t="s">
        <v>595</v>
      </c>
      <c r="J123" s="330" t="s">
        <v>52</v>
      </c>
      <c r="K123" s="330"/>
      <c r="L123" s="330"/>
      <c r="M123" s="330"/>
      <c r="N123" s="330"/>
      <c r="O123" s="330"/>
      <c r="P123" s="330"/>
      <c r="Q123" s="330"/>
      <c r="R123" s="330"/>
      <c r="S123" s="348" t="s">
        <v>596</v>
      </c>
      <c r="T123" s="312">
        <v>1</v>
      </c>
      <c r="U123" s="332" t="s">
        <v>590</v>
      </c>
      <c r="V123" s="349"/>
      <c r="W123" s="322"/>
      <c r="X123" s="317"/>
      <c r="Y123" s="316"/>
      <c r="Z123" s="380"/>
      <c r="AA123" s="375"/>
      <c r="AB123" s="316"/>
      <c r="AC123" s="316"/>
      <c r="AD123" s="316"/>
      <c r="AE123" s="320">
        <f>AA123/Sankey_diag!$H$62</f>
        <v>0</v>
      </c>
      <c r="AF123" s="316"/>
      <c r="AG123" s="316" t="s">
        <v>597</v>
      </c>
      <c r="AH123" s="350"/>
    </row>
    <row r="124" spans="1:34" ht="72.599999999999994" customHeight="1" x14ac:dyDescent="0.3">
      <c r="B124" s="459"/>
      <c r="C124" s="316"/>
      <c r="D124" s="456"/>
      <c r="E124" s="576"/>
      <c r="F124" s="316"/>
      <c r="G124" s="326" t="s">
        <v>915</v>
      </c>
      <c r="H124" s="330"/>
      <c r="I124" s="330"/>
      <c r="J124" s="330"/>
      <c r="K124" s="330"/>
      <c r="L124" s="330"/>
      <c r="M124" s="330"/>
      <c r="N124" s="330"/>
      <c r="O124" s="330"/>
      <c r="P124" s="330"/>
      <c r="Q124" s="330"/>
      <c r="R124" s="330"/>
      <c r="S124" s="348" t="s">
        <v>916</v>
      </c>
      <c r="T124" s="312">
        <v>1</v>
      </c>
      <c r="U124" s="332"/>
      <c r="V124" s="349"/>
      <c r="W124" s="322"/>
      <c r="X124" s="317"/>
      <c r="Y124" s="316"/>
      <c r="Z124" s="380"/>
      <c r="AA124" s="375"/>
      <c r="AB124" s="316"/>
      <c r="AC124" s="316"/>
      <c r="AD124" s="316"/>
      <c r="AE124" s="320"/>
      <c r="AF124" s="316"/>
      <c r="AG124" s="316"/>
      <c r="AH124" s="350"/>
    </row>
    <row r="125" spans="1:34" ht="48" customHeight="1" x14ac:dyDescent="0.3">
      <c r="B125" s="459"/>
      <c r="C125" s="316" t="s">
        <v>569</v>
      </c>
      <c r="D125" s="456"/>
      <c r="E125" s="576"/>
      <c r="F125" s="316" t="s">
        <v>598</v>
      </c>
      <c r="G125" s="326" t="s">
        <v>2608</v>
      </c>
      <c r="H125" s="330"/>
      <c r="I125" s="330" t="s">
        <v>600</v>
      </c>
      <c r="J125" s="330" t="s">
        <v>52</v>
      </c>
      <c r="K125" s="330"/>
      <c r="L125" s="330" t="s">
        <v>86</v>
      </c>
      <c r="M125" s="330" t="s">
        <v>43</v>
      </c>
      <c r="N125" s="330" t="s">
        <v>43</v>
      </c>
      <c r="O125" s="330"/>
      <c r="P125" s="330" t="s">
        <v>45</v>
      </c>
      <c r="Q125" s="330"/>
      <c r="R125" s="330"/>
      <c r="S125" s="348" t="s">
        <v>601</v>
      </c>
      <c r="T125" s="312">
        <v>0.2</v>
      </c>
      <c r="U125" s="332" t="s">
        <v>590</v>
      </c>
      <c r="V125" s="349"/>
      <c r="W125" s="322"/>
      <c r="X125" s="317"/>
      <c r="Y125" s="316"/>
      <c r="Z125" s="319"/>
      <c r="AA125" s="375"/>
      <c r="AB125" s="316"/>
      <c r="AC125" s="316"/>
      <c r="AD125" s="316"/>
      <c r="AE125" s="320">
        <f>AA125/Sankey_diag!$H$62</f>
        <v>0</v>
      </c>
      <c r="AF125" s="316"/>
      <c r="AG125" s="316" t="s">
        <v>597</v>
      </c>
      <c r="AH125" s="350" t="s">
        <v>592</v>
      </c>
    </row>
    <row r="126" spans="1:34" ht="28.8" x14ac:dyDescent="0.3">
      <c r="B126" s="459"/>
      <c r="C126" s="316" t="s">
        <v>557</v>
      </c>
      <c r="D126" s="456"/>
      <c r="E126" s="576"/>
      <c r="F126" s="316" t="s">
        <v>602</v>
      </c>
      <c r="G126" s="326" t="s">
        <v>2612</v>
      </c>
      <c r="H126" s="330"/>
      <c r="I126" s="330"/>
      <c r="J126" s="330" t="s">
        <v>52</v>
      </c>
      <c r="K126" s="330"/>
      <c r="L126" s="330"/>
      <c r="M126" s="330"/>
      <c r="N126" s="330"/>
      <c r="O126" s="330"/>
      <c r="P126" s="330"/>
      <c r="Q126" s="330"/>
      <c r="R126" s="330"/>
      <c r="S126" s="348" t="s">
        <v>604</v>
      </c>
      <c r="T126" s="312">
        <v>0.2</v>
      </c>
      <c r="U126" s="334">
        <v>0</v>
      </c>
      <c r="V126" s="349"/>
      <c r="W126" s="322">
        <f>Sankey_diag!N20</f>
        <v>0.25067632254719996</v>
      </c>
      <c r="X126" s="317" cm="1">
        <f t="array" ref="X126">IF(Y126="",W126,_xlfn.XLOOKUP(Y126,$Y$2:Y125,$AC$2:AC125,W126,0,-1))</f>
        <v>0.25067632254719996</v>
      </c>
      <c r="Y126" s="316">
        <v>11</v>
      </c>
      <c r="Z126" s="318">
        <f>Z116</f>
        <v>0.97176470588235297</v>
      </c>
      <c r="AA126" s="375">
        <f t="shared" ref="AA126" si="53">(T126-U126)*Z126*W126</f>
        <v>4.8719680570349928E-2</v>
      </c>
      <c r="AB126" s="316">
        <f t="shared" ref="AB126" si="54">(T126-U126)*Z126*X126</f>
        <v>4.8719680570349928E-2</v>
      </c>
      <c r="AC126" s="316">
        <f t="shared" ref="AC126" si="55">X126-AB126</f>
        <v>0.20195664197685004</v>
      </c>
      <c r="AD126" s="316"/>
      <c r="AE126" s="320">
        <f>AA126/Sankey_diag!$H$62</f>
        <v>1.325640835476466E-5</v>
      </c>
      <c r="AF126" s="316"/>
      <c r="AG126" s="316" t="s">
        <v>597</v>
      </c>
      <c r="AH126" s="350"/>
    </row>
    <row r="127" spans="1:34" ht="43.2" x14ac:dyDescent="0.3">
      <c r="B127" s="459"/>
      <c r="C127" s="316" t="s">
        <v>557</v>
      </c>
      <c r="D127" s="456"/>
      <c r="E127" s="576"/>
      <c r="F127" s="316" t="s">
        <v>605</v>
      </c>
      <c r="G127" s="326" t="s">
        <v>606</v>
      </c>
      <c r="H127" s="330"/>
      <c r="I127" s="330"/>
      <c r="J127" s="330" t="s">
        <v>52</v>
      </c>
      <c r="K127" s="330"/>
      <c r="L127" s="330"/>
      <c r="M127" s="330"/>
      <c r="N127" s="330"/>
      <c r="O127" s="330"/>
      <c r="P127" s="330"/>
      <c r="Q127" s="330"/>
      <c r="R127" s="330"/>
      <c r="S127" s="348" t="s">
        <v>607</v>
      </c>
      <c r="T127" s="311">
        <v>1</v>
      </c>
      <c r="U127" s="332" t="s">
        <v>590</v>
      </c>
      <c r="V127" s="349"/>
      <c r="W127" s="322"/>
      <c r="X127" s="317"/>
      <c r="Y127" s="316"/>
      <c r="Z127" s="319"/>
      <c r="AA127" s="375"/>
      <c r="AB127" s="316"/>
      <c r="AC127" s="316"/>
      <c r="AD127" s="316"/>
      <c r="AE127" s="320">
        <f>AA127/Sankey_diag!$H$62</f>
        <v>0</v>
      </c>
      <c r="AF127" s="316"/>
      <c r="AG127" s="316" t="s">
        <v>77</v>
      </c>
      <c r="AH127" s="350" t="s">
        <v>562</v>
      </c>
    </row>
    <row r="128" spans="1:34" ht="44.1" customHeight="1" x14ac:dyDescent="0.3">
      <c r="B128" s="459"/>
      <c r="C128" s="316" t="s">
        <v>584</v>
      </c>
      <c r="D128" s="456"/>
      <c r="E128" s="576"/>
      <c r="F128" s="316" t="s">
        <v>608</v>
      </c>
      <c r="G128" s="326" t="s">
        <v>608</v>
      </c>
      <c r="H128" s="330"/>
      <c r="I128" s="326" t="s">
        <v>609</v>
      </c>
      <c r="J128" s="330" t="s">
        <v>52</v>
      </c>
      <c r="K128" s="330"/>
      <c r="L128" s="330" t="s">
        <v>42</v>
      </c>
      <c r="M128" s="330" t="s">
        <v>44</v>
      </c>
      <c r="N128" s="330" t="s">
        <v>44</v>
      </c>
      <c r="O128" s="330"/>
      <c r="P128" s="330" t="s">
        <v>119</v>
      </c>
      <c r="Q128" s="330"/>
      <c r="R128" s="330"/>
      <c r="S128" s="348" t="s">
        <v>610</v>
      </c>
      <c r="T128" s="311">
        <v>0.2</v>
      </c>
      <c r="U128" s="332">
        <v>0</v>
      </c>
      <c r="V128" s="349"/>
      <c r="W128" s="322">
        <f>SUM(Sankey_diag!N20,Sankey_diag!N21,Sankey_diag!N22,Sankey_diag!N25,Sankey_diag!N26,Sankey_diag!N27)</f>
        <v>180.78246032713798</v>
      </c>
      <c r="X128" s="317" cm="1">
        <f t="array" ref="X128">IF(Y128="",W128,_xlfn.XLOOKUP(Y128,$Y$2:Y127,$AC$2:AC127,W128,0,-1))</f>
        <v>0.20195664197685004</v>
      </c>
      <c r="Y128" s="316">
        <v>11</v>
      </c>
      <c r="Z128" s="319">
        <v>1</v>
      </c>
      <c r="AA128" s="375">
        <f t="shared" ref="AA128:AA132" si="56">(T128-U128)*Z128*W128</f>
        <v>36.156492065427599</v>
      </c>
      <c r="AB128" s="316">
        <f t="shared" ref="AB128" si="57">(T128-U128)*Z128*X128</f>
        <v>4.0391328395370012E-2</v>
      </c>
      <c r="AC128" s="316">
        <f t="shared" ref="AC128" si="58">X128-AB128</f>
        <v>0.16156531358148002</v>
      </c>
      <c r="AD128" s="316"/>
      <c r="AE128" s="320">
        <f>AA128/Sankey_diag!$H$62</f>
        <v>9.8380206496430644E-3</v>
      </c>
      <c r="AF128" s="316"/>
      <c r="AG128" s="316" t="s">
        <v>597</v>
      </c>
      <c r="AH128" s="350"/>
    </row>
    <row r="129" spans="1:34" ht="13.35" customHeight="1" x14ac:dyDescent="0.3">
      <c r="B129" s="459"/>
      <c r="C129" s="316" t="s">
        <v>557</v>
      </c>
      <c r="D129" s="456"/>
      <c r="E129" s="576"/>
      <c r="F129" s="316" t="s">
        <v>611</v>
      </c>
      <c r="G129" s="326" t="s">
        <v>611</v>
      </c>
      <c r="H129" s="330"/>
      <c r="I129" s="330"/>
      <c r="J129" s="330" t="s">
        <v>41</v>
      </c>
      <c r="K129" s="330"/>
      <c r="L129" s="330" t="s">
        <v>86</v>
      </c>
      <c r="M129" s="330" t="s">
        <v>111</v>
      </c>
      <c r="N129" s="330" t="s">
        <v>43</v>
      </c>
      <c r="O129" s="330"/>
      <c r="P129" s="330" t="s">
        <v>45</v>
      </c>
      <c r="Q129" s="330"/>
      <c r="R129" s="330"/>
      <c r="S129" s="348" t="s">
        <v>917</v>
      </c>
      <c r="T129" s="311">
        <v>0.1</v>
      </c>
      <c r="U129" s="332">
        <v>0</v>
      </c>
      <c r="V129" s="349"/>
      <c r="W129" s="316"/>
      <c r="X129" s="316"/>
      <c r="Y129" s="316"/>
      <c r="Z129" s="316"/>
      <c r="AA129" s="375"/>
      <c r="AB129" s="316"/>
      <c r="AC129" s="316"/>
      <c r="AD129" s="316"/>
      <c r="AE129" s="320">
        <f>AA129/Sankey_diag!$H$62</f>
        <v>0</v>
      </c>
      <c r="AF129" s="316"/>
      <c r="AG129" s="316"/>
      <c r="AH129" s="350"/>
    </row>
    <row r="130" spans="1:34" ht="39.6" customHeight="1" x14ac:dyDescent="0.3">
      <c r="A130" t="s">
        <v>613</v>
      </c>
      <c r="B130" s="459"/>
      <c r="C130" s="316" t="s">
        <v>584</v>
      </c>
      <c r="D130" s="456"/>
      <c r="E130" s="576"/>
      <c r="F130" s="316" t="s">
        <v>614</v>
      </c>
      <c r="G130" s="326" t="s">
        <v>918</v>
      </c>
      <c r="H130" s="330"/>
      <c r="I130" s="330" t="s">
        <v>919</v>
      </c>
      <c r="J130" s="330" t="s">
        <v>41</v>
      </c>
      <c r="K130" s="330">
        <v>0</v>
      </c>
      <c r="L130" s="330" t="s">
        <v>42</v>
      </c>
      <c r="M130" s="330" t="s">
        <v>43</v>
      </c>
      <c r="N130" s="330" t="s">
        <v>43</v>
      </c>
      <c r="O130" s="330" t="s">
        <v>617</v>
      </c>
      <c r="P130" s="330" t="s">
        <v>119</v>
      </c>
      <c r="Q130" s="330"/>
      <c r="R130" s="330"/>
      <c r="S130" s="348" t="s">
        <v>920</v>
      </c>
      <c r="T130" s="311">
        <v>0.5</v>
      </c>
      <c r="U130" s="334">
        <f>2/17</f>
        <v>0.11764705882352941</v>
      </c>
      <c r="V130" s="349"/>
      <c r="W130" s="325">
        <v>0</v>
      </c>
      <c r="X130" s="325">
        <f>W130</f>
        <v>0</v>
      </c>
      <c r="Y130" s="316"/>
      <c r="Z130" s="319">
        <f>97%/2</f>
        <v>0.48499999999999999</v>
      </c>
      <c r="AA130" s="375">
        <f t="shared" si="56"/>
        <v>0</v>
      </c>
      <c r="AB130" s="316"/>
      <c r="AC130" s="316"/>
      <c r="AD130" s="316"/>
      <c r="AE130" s="320">
        <f>AA130/Sankey_diag!$H$62</f>
        <v>0</v>
      </c>
      <c r="AF130" s="316"/>
      <c r="AG130" s="316"/>
      <c r="AH130" s="350"/>
    </row>
    <row r="131" spans="1:34" ht="48" customHeight="1" x14ac:dyDescent="0.3">
      <c r="B131" s="459"/>
      <c r="C131" s="316"/>
      <c r="D131" s="456"/>
      <c r="E131" s="573"/>
      <c r="F131" s="316"/>
      <c r="G131" s="412" t="s">
        <v>921</v>
      </c>
      <c r="H131" s="330"/>
      <c r="I131" s="330"/>
      <c r="J131" s="330"/>
      <c r="K131" s="330"/>
      <c r="L131" s="330"/>
      <c r="M131" s="330"/>
      <c r="N131" s="330"/>
      <c r="O131" s="330"/>
      <c r="P131" s="330"/>
      <c r="Q131" s="330"/>
      <c r="R131" s="330"/>
      <c r="S131" s="348" t="s">
        <v>922</v>
      </c>
      <c r="T131" s="311">
        <v>0.2</v>
      </c>
      <c r="U131" s="334">
        <v>0.31</v>
      </c>
      <c r="V131" s="349"/>
      <c r="W131" s="325">
        <f>SUM(Sankey_diag!N3,Sankey_diag!N7,Sankey_diag!N11,Sankey_diag!N15)</f>
        <v>812.13032099999998</v>
      </c>
      <c r="X131" s="325"/>
      <c r="Y131" s="316"/>
      <c r="Z131" s="319">
        <f>1-AVERAGE(0.04,0)/0.21</f>
        <v>0.90476190476190477</v>
      </c>
      <c r="AA131" s="375">
        <f>Z131*W131*(U131-T131)</f>
        <v>80.826303375714275</v>
      </c>
      <c r="AB131" s="316"/>
      <c r="AC131" s="316"/>
      <c r="AD131" s="316"/>
      <c r="AE131" s="320"/>
      <c r="AF131" s="316"/>
      <c r="AG131" s="316"/>
      <c r="AH131" s="350"/>
    </row>
    <row r="132" spans="1:34" ht="28.8" x14ac:dyDescent="0.3">
      <c r="A132" t="s">
        <v>619</v>
      </c>
      <c r="B132" s="459"/>
      <c r="C132" s="316" t="s">
        <v>557</v>
      </c>
      <c r="D132" s="456"/>
      <c r="E132" s="456" t="s">
        <v>620</v>
      </c>
      <c r="F132" s="316" t="s">
        <v>621</v>
      </c>
      <c r="G132" s="326" t="s">
        <v>622</v>
      </c>
      <c r="H132" s="330"/>
      <c r="I132" s="330" t="s">
        <v>623</v>
      </c>
      <c r="J132" s="330" t="s">
        <v>41</v>
      </c>
      <c r="K132" s="330">
        <v>0</v>
      </c>
      <c r="L132" s="330"/>
      <c r="M132" s="330"/>
      <c r="N132" s="330"/>
      <c r="O132" s="330"/>
      <c r="P132" s="330"/>
      <c r="Q132" s="330"/>
      <c r="R132" s="330"/>
      <c r="S132" s="348" t="s">
        <v>624</v>
      </c>
      <c r="T132" s="312">
        <v>0.5</v>
      </c>
      <c r="U132" s="332"/>
      <c r="V132" s="349"/>
      <c r="W132" s="322">
        <f>SUM(Sankey_diag!N23:N28)/52*2</f>
        <v>7.6288461538461538</v>
      </c>
      <c r="X132" s="317" cm="1">
        <f t="array" ref="X132">IF(Y132="",W132,_xlfn.XLOOKUP(Y132,$Y$2:Y130,$AC$2:AC130,W132,0,-1))</f>
        <v>7.6288461538461538</v>
      </c>
      <c r="Y132" s="316"/>
      <c r="Z132" s="319">
        <v>1</v>
      </c>
      <c r="AA132" s="375">
        <f t="shared" si="56"/>
        <v>3.8144230769230769</v>
      </c>
      <c r="AB132" s="316">
        <f t="shared" ref="AB132" si="59">(T132-U132)*Z132*X132</f>
        <v>3.8144230769230769</v>
      </c>
      <c r="AC132" s="316">
        <f t="shared" ref="AC132" si="60">X132-AB132</f>
        <v>3.8144230769230769</v>
      </c>
      <c r="AD132" s="316"/>
      <c r="AE132" s="320">
        <f>AA132/Sankey_diag!$H$62</f>
        <v>1.0378875508535999E-3</v>
      </c>
      <c r="AF132" s="316"/>
      <c r="AG132" s="316"/>
      <c r="AH132" s="350"/>
    </row>
    <row r="133" spans="1:34" ht="28.8" x14ac:dyDescent="0.3">
      <c r="A133" t="s">
        <v>625</v>
      </c>
      <c r="B133" s="459"/>
      <c r="C133" s="316" t="s">
        <v>584</v>
      </c>
      <c r="D133" s="456"/>
      <c r="E133" s="456"/>
      <c r="F133" s="316" t="s">
        <v>626</v>
      </c>
      <c r="G133" s="326" t="s">
        <v>627</v>
      </c>
      <c r="H133" s="330"/>
      <c r="I133" s="330"/>
      <c r="J133" s="330" t="s">
        <v>41</v>
      </c>
      <c r="K133" s="330"/>
      <c r="L133" s="330"/>
      <c r="M133" s="330"/>
      <c r="N133" s="330"/>
      <c r="O133" s="330"/>
      <c r="P133" s="330"/>
      <c r="Q133" s="330"/>
      <c r="R133" s="330"/>
      <c r="S133" s="348" t="s">
        <v>628</v>
      </c>
      <c r="T133" s="312">
        <v>0.25</v>
      </c>
      <c r="U133" s="332"/>
      <c r="V133" s="349"/>
      <c r="W133" s="322"/>
      <c r="X133" s="317"/>
      <c r="Y133" s="316"/>
      <c r="Z133" s="318"/>
      <c r="AA133" s="375"/>
      <c r="AB133" s="316"/>
      <c r="AC133" s="316"/>
      <c r="AD133" s="316"/>
      <c r="AE133" s="320">
        <f>AA133/Sankey_diag!$H$62</f>
        <v>0</v>
      </c>
      <c r="AF133" s="316"/>
      <c r="AG133" s="316"/>
      <c r="AH133" s="350"/>
    </row>
    <row r="134" spans="1:34" ht="28.8" x14ac:dyDescent="0.3">
      <c r="A134" t="s">
        <v>629</v>
      </c>
      <c r="B134" s="459"/>
      <c r="C134" s="316" t="s">
        <v>584</v>
      </c>
      <c r="D134" s="456"/>
      <c r="E134" s="456"/>
      <c r="F134" s="316" t="s">
        <v>630</v>
      </c>
      <c r="G134" s="326" t="s">
        <v>630</v>
      </c>
      <c r="H134" s="330"/>
      <c r="I134" s="330" t="s">
        <v>631</v>
      </c>
      <c r="J134" s="330" t="s">
        <v>41</v>
      </c>
      <c r="K134" s="330">
        <v>2</v>
      </c>
      <c r="L134" s="330" t="s">
        <v>53</v>
      </c>
      <c r="M134" s="330" t="s">
        <v>44</v>
      </c>
      <c r="N134" s="330" t="s">
        <v>44</v>
      </c>
      <c r="O134" s="330"/>
      <c r="P134" s="330" t="s">
        <v>106</v>
      </c>
      <c r="Q134" s="330"/>
      <c r="R134" s="330"/>
      <c r="S134" s="348" t="s">
        <v>632</v>
      </c>
      <c r="T134" s="312">
        <v>0.2</v>
      </c>
      <c r="U134" s="332"/>
      <c r="V134" s="349"/>
      <c r="W134" s="322">
        <f>2%*SUM(Sankey_diag!N25)</f>
        <v>2.5940777777777777</v>
      </c>
      <c r="X134" s="317" cm="1">
        <f t="array" ref="X134">IF(Y134="",W134,_xlfn.XLOOKUP(Y134,$Y$2:Y133,$AC$2:AC133,W134,0,-1))</f>
        <v>2.5940777777777777</v>
      </c>
      <c r="Y134" s="316"/>
      <c r="Z134" s="319">
        <v>1</v>
      </c>
      <c r="AA134" s="375">
        <f t="shared" ref="AA134:AA151" si="61">(T134-U134)*Z134*W134</f>
        <v>0.51881555555555559</v>
      </c>
      <c r="AB134" s="316">
        <f t="shared" ref="AB134:AB151" si="62">(T134-U134)*Z134*X134</f>
        <v>0.51881555555555559</v>
      </c>
      <c r="AC134" s="316">
        <f t="shared" ref="AC134:AC151" si="63">X134-AB134</f>
        <v>2.0752622222222223</v>
      </c>
      <c r="AD134" s="316"/>
      <c r="AE134" s="320">
        <f>AA134/Sankey_diag!$H$62</f>
        <v>1.4116740472707779E-4</v>
      </c>
      <c r="AF134" s="316"/>
      <c r="AG134" s="316"/>
      <c r="AH134" s="350"/>
    </row>
    <row r="135" spans="1:34" x14ac:dyDescent="0.3">
      <c r="B135" s="459"/>
      <c r="C135" s="316" t="s">
        <v>584</v>
      </c>
      <c r="D135" s="456"/>
      <c r="E135" s="456"/>
      <c r="F135" s="316" t="s">
        <v>633</v>
      </c>
      <c r="G135" s="326" t="s">
        <v>634</v>
      </c>
      <c r="H135" s="330"/>
      <c r="I135" s="330"/>
      <c r="J135" s="330" t="s">
        <v>52</v>
      </c>
      <c r="K135" s="330"/>
      <c r="L135" s="330"/>
      <c r="M135" s="330"/>
      <c r="N135" s="330"/>
      <c r="O135" s="330"/>
      <c r="P135" s="330"/>
      <c r="Q135" s="330"/>
      <c r="R135" s="330"/>
      <c r="S135" s="348" t="s">
        <v>635</v>
      </c>
      <c r="T135" s="310"/>
      <c r="U135" s="332"/>
      <c r="V135" s="349"/>
      <c r="W135" s="322"/>
      <c r="X135" s="317" cm="1">
        <f t="array" ref="X135">IF(Y135="",W135,_xlfn.XLOOKUP(Y135,$Y$2:Y134,$AC$2:AC134,W135,0,-1))</f>
        <v>0</v>
      </c>
      <c r="Y135" s="316"/>
      <c r="Z135" s="316"/>
      <c r="AA135" s="375">
        <f t="shared" si="61"/>
        <v>0</v>
      </c>
      <c r="AB135" s="316">
        <f t="shared" si="62"/>
        <v>0</v>
      </c>
      <c r="AC135" s="316">
        <f t="shared" si="63"/>
        <v>0</v>
      </c>
      <c r="AD135" s="316"/>
      <c r="AE135" s="320">
        <f>AA135/Sankey_diag!$H$62</f>
        <v>0</v>
      </c>
      <c r="AF135" s="316"/>
      <c r="AG135" s="316" t="s">
        <v>389</v>
      </c>
      <c r="AH135" s="350" t="s">
        <v>492</v>
      </c>
    </row>
    <row r="136" spans="1:34" ht="13.35" customHeight="1" x14ac:dyDescent="0.3">
      <c r="B136" s="459"/>
      <c r="C136" s="316" t="s">
        <v>584</v>
      </c>
      <c r="D136" s="456"/>
      <c r="E136" s="456"/>
      <c r="F136" s="316" t="s">
        <v>636</v>
      </c>
      <c r="G136" s="326" t="s">
        <v>637</v>
      </c>
      <c r="H136" s="330"/>
      <c r="I136" s="330"/>
      <c r="J136" s="330" t="s">
        <v>52</v>
      </c>
      <c r="K136" s="330"/>
      <c r="L136" s="330" t="s">
        <v>86</v>
      </c>
      <c r="M136" s="330" t="s">
        <v>44</v>
      </c>
      <c r="N136" s="330" t="s">
        <v>44</v>
      </c>
      <c r="O136" s="330"/>
      <c r="P136" s="330" t="s">
        <v>45</v>
      </c>
      <c r="Q136" s="330"/>
      <c r="R136" s="330"/>
      <c r="S136" s="348" t="s">
        <v>638</v>
      </c>
      <c r="T136" s="311">
        <v>0.8</v>
      </c>
      <c r="U136" s="332"/>
      <c r="V136" s="349"/>
      <c r="W136" s="322"/>
      <c r="X136" s="317" cm="1">
        <f t="array" ref="X136">IF(Y136="",W136,_xlfn.XLOOKUP(Y136,$Y$2:Y135,$AC$2:AC135,W136,0,-1))</f>
        <v>0</v>
      </c>
      <c r="Y136" s="316"/>
      <c r="Z136" s="319">
        <v>1</v>
      </c>
      <c r="AA136" s="375">
        <f t="shared" si="61"/>
        <v>0</v>
      </c>
      <c r="AB136" s="316">
        <f t="shared" si="62"/>
        <v>0</v>
      </c>
      <c r="AC136" s="316">
        <f t="shared" si="63"/>
        <v>0</v>
      </c>
      <c r="AD136" s="316"/>
      <c r="AE136" s="320">
        <f>AA136/Sankey_diag!$H$62</f>
        <v>0</v>
      </c>
      <c r="AF136" s="316"/>
      <c r="AG136" s="316" t="s">
        <v>639</v>
      </c>
      <c r="AH136" s="350" t="s">
        <v>640</v>
      </c>
    </row>
    <row r="137" spans="1:34" ht="14.1" customHeight="1" x14ac:dyDescent="0.3">
      <c r="B137" s="459"/>
      <c r="C137" s="316" t="s">
        <v>569</v>
      </c>
      <c r="D137" s="456"/>
      <c r="E137" s="456"/>
      <c r="F137" s="316" t="s">
        <v>641</v>
      </c>
      <c r="G137" s="326" t="s">
        <v>642</v>
      </c>
      <c r="H137" s="330"/>
      <c r="I137" s="330" t="s">
        <v>643</v>
      </c>
      <c r="J137" s="330" t="s">
        <v>52</v>
      </c>
      <c r="K137" s="330"/>
      <c r="L137" s="330" t="s">
        <v>53</v>
      </c>
      <c r="M137" s="330" t="s">
        <v>43</v>
      </c>
      <c r="N137" s="330" t="s">
        <v>43</v>
      </c>
      <c r="O137" s="330"/>
      <c r="P137" s="330" t="s">
        <v>106</v>
      </c>
      <c r="Q137" s="330"/>
      <c r="R137" s="330"/>
      <c r="S137" s="348" t="s">
        <v>923</v>
      </c>
      <c r="T137" s="312">
        <f>2/5*30%</f>
        <v>0.12</v>
      </c>
      <c r="U137" s="332">
        <v>0</v>
      </c>
      <c r="V137" s="349"/>
      <c r="W137" s="324">
        <f>SUM(Sankey_diag!K3)</f>
        <v>633.02056871462128</v>
      </c>
      <c r="X137" s="317" cm="1">
        <f t="array" ref="X137">IF(Y137="",W137,_xlfn.XLOOKUP(Y137,$Y$2:Y136,$AC$2:AC136,W137,0,-1))</f>
        <v>97.61983727375565</v>
      </c>
      <c r="Y137" s="316">
        <v>10</v>
      </c>
      <c r="Z137" s="320">
        <v>1</v>
      </c>
      <c r="AA137" s="375">
        <f t="shared" si="61"/>
        <v>75.96246824575455</v>
      </c>
      <c r="AB137" s="316">
        <f t="shared" si="62"/>
        <v>11.714380472850678</v>
      </c>
      <c r="AC137" s="316">
        <f t="shared" si="63"/>
        <v>85.905456800904972</v>
      </c>
      <c r="AD137" s="316"/>
      <c r="AE137" s="320">
        <f>AA137/Sankey_diag!$H$62</f>
        <v>2.066904969230042E-2</v>
      </c>
      <c r="AF137" s="316"/>
      <c r="AG137" s="316" t="s">
        <v>645</v>
      </c>
      <c r="AH137" s="350" t="s">
        <v>646</v>
      </c>
    </row>
    <row r="138" spans="1:34" ht="14.1" customHeight="1" thickBot="1" x14ac:dyDescent="0.35">
      <c r="B138" s="460"/>
      <c r="C138" s="354"/>
      <c r="D138" s="352"/>
      <c r="E138" s="352"/>
      <c r="F138" s="351"/>
      <c r="G138" s="353"/>
      <c r="H138" s="354"/>
      <c r="I138" s="354"/>
      <c r="J138" s="354" t="s">
        <v>185</v>
      </c>
      <c r="K138" s="354"/>
      <c r="L138" s="354"/>
      <c r="M138" s="354"/>
      <c r="N138" s="354"/>
      <c r="O138" s="354"/>
      <c r="P138" s="354"/>
      <c r="Q138" s="354"/>
      <c r="R138" s="354"/>
      <c r="S138" s="356"/>
      <c r="T138" s="366"/>
      <c r="U138" s="358"/>
      <c r="V138" s="359"/>
      <c r="W138" s="360"/>
      <c r="X138" s="361"/>
      <c r="Y138" s="351"/>
      <c r="Z138" s="362"/>
      <c r="AA138" s="376"/>
      <c r="AB138" s="351">
        <f t="shared" si="62"/>
        <v>0</v>
      </c>
      <c r="AC138" s="351"/>
      <c r="AD138" s="351"/>
      <c r="AE138" s="362"/>
      <c r="AF138" s="351"/>
      <c r="AG138" s="351"/>
      <c r="AH138" s="363"/>
    </row>
    <row r="139" spans="1:34" ht="114.6" customHeight="1" thickTop="1" thickBot="1" x14ac:dyDescent="0.35">
      <c r="A139" t="s">
        <v>649</v>
      </c>
      <c r="B139" s="458" t="s">
        <v>650</v>
      </c>
      <c r="C139" s="336"/>
      <c r="D139" s="455" t="s">
        <v>924</v>
      </c>
      <c r="E139" s="455" t="s">
        <v>277</v>
      </c>
      <c r="F139" s="336" t="s">
        <v>651</v>
      </c>
      <c r="G139" s="338" t="s">
        <v>652</v>
      </c>
      <c r="H139" s="339"/>
      <c r="I139" s="339"/>
      <c r="J139" s="339" t="s">
        <v>41</v>
      </c>
      <c r="K139" s="339">
        <v>0</v>
      </c>
      <c r="L139" s="339" t="s">
        <v>42</v>
      </c>
      <c r="M139" s="339" t="s">
        <v>43</v>
      </c>
      <c r="N139" s="339" t="s">
        <v>44</v>
      </c>
      <c r="O139" s="339"/>
      <c r="P139" s="339" t="s">
        <v>45</v>
      </c>
      <c r="Q139" s="339"/>
      <c r="R139" s="339"/>
      <c r="S139" s="340" t="s">
        <v>653</v>
      </c>
      <c r="T139" s="390">
        <v>1</v>
      </c>
      <c r="U139" s="342">
        <v>0</v>
      </c>
      <c r="V139" s="343">
        <v>2022</v>
      </c>
      <c r="W139" s="379"/>
      <c r="X139" s="379"/>
      <c r="Y139" s="392"/>
      <c r="Z139" s="377"/>
      <c r="AA139" s="374">
        <f>Z139*W139</f>
        <v>0</v>
      </c>
      <c r="AB139" s="378">
        <f>Z139*X139</f>
        <v>0</v>
      </c>
      <c r="AC139" s="378">
        <f t="shared" si="63"/>
        <v>0</v>
      </c>
      <c r="AD139" s="346">
        <f>AA139/Sankey_diag!$H$29</f>
        <v>0</v>
      </c>
      <c r="AE139" s="346">
        <f>AA139/Sankey_diag!$H$62</f>
        <v>0</v>
      </c>
      <c r="AF139" s="336"/>
      <c r="AG139" s="336" t="s">
        <v>77</v>
      </c>
      <c r="AH139" s="347" t="s">
        <v>654</v>
      </c>
    </row>
    <row r="140" spans="1:34" ht="114.6" customHeight="1" thickTop="1" x14ac:dyDescent="0.3">
      <c r="B140" s="572"/>
      <c r="C140" s="442"/>
      <c r="D140" s="573"/>
      <c r="E140" s="573"/>
      <c r="F140" s="442"/>
      <c r="G140" s="443" t="s">
        <v>925</v>
      </c>
      <c r="H140" s="444"/>
      <c r="I140" s="444"/>
      <c r="J140" s="444"/>
      <c r="K140" s="444"/>
      <c r="L140" s="444"/>
      <c r="M140" s="444"/>
      <c r="N140" s="444"/>
      <c r="O140" s="444"/>
      <c r="P140" s="444"/>
      <c r="Q140" s="444"/>
      <c r="R140" s="444"/>
      <c r="S140" s="445"/>
      <c r="T140" s="446" t="s">
        <v>590</v>
      </c>
      <c r="U140" s="447" t="s">
        <v>590</v>
      </c>
      <c r="V140" s="448"/>
      <c r="W140" s="324">
        <f>SUM(Sankey_diag!K36)</f>
        <v>1388.1024891833051</v>
      </c>
      <c r="X140" s="317" cm="1">
        <f t="array" ref="X140">IF(Y140="",W140,_xlfn.XLOOKUP(Y140,$Y$2:Y139,$AC$2:AC139,W140,0,-1))</f>
        <v>1388.1024891833051</v>
      </c>
      <c r="Y140" s="316"/>
      <c r="Z140" s="320" t="s">
        <v>590</v>
      </c>
      <c r="AA140" s="375" t="e">
        <f t="shared" ref="AA140" si="64">(T140-U140)*Z140*W140</f>
        <v>#VALUE!</v>
      </c>
      <c r="AB140" s="449"/>
      <c r="AC140" s="449"/>
      <c r="AD140" s="346" t="e">
        <f>AA140/Sankey_diag!$H$29</f>
        <v>#VALUE!</v>
      </c>
      <c r="AE140" s="346" t="e">
        <f>AA140/Sankey_diag!$H$62</f>
        <v>#VALUE!</v>
      </c>
      <c r="AF140" s="442"/>
      <c r="AG140" s="442"/>
      <c r="AH140" s="450"/>
    </row>
    <row r="141" spans="1:34" ht="28.8" x14ac:dyDescent="0.3">
      <c r="A141" t="s">
        <v>655</v>
      </c>
      <c r="B141" s="459"/>
      <c r="C141" s="316"/>
      <c r="D141" s="456"/>
      <c r="E141" s="456"/>
      <c r="F141" s="316" t="s">
        <v>656</v>
      </c>
      <c r="G141" s="326" t="s">
        <v>656</v>
      </c>
      <c r="H141" s="330"/>
      <c r="I141" s="330" t="s">
        <v>657</v>
      </c>
      <c r="J141" s="330" t="s">
        <v>41</v>
      </c>
      <c r="K141" s="330">
        <v>3</v>
      </c>
      <c r="L141" s="330"/>
      <c r="M141" s="330"/>
      <c r="N141" s="330"/>
      <c r="O141" s="330"/>
      <c r="P141" s="330" t="s">
        <v>157</v>
      </c>
      <c r="Q141" s="330"/>
      <c r="R141" s="330"/>
      <c r="S141" s="348" t="s">
        <v>658</v>
      </c>
      <c r="T141" s="310">
        <v>1</v>
      </c>
      <c r="U141" s="332"/>
      <c r="V141" s="349"/>
      <c r="W141" s="322"/>
      <c r="X141" s="317"/>
      <c r="Y141" s="316"/>
      <c r="Z141" s="316"/>
      <c r="AA141" s="375">
        <f t="shared" ref="AA141" si="65">(T141-U141)*Z141*W141</f>
        <v>0</v>
      </c>
      <c r="AB141" s="316">
        <f t="shared" ref="AB141" si="66">(T141-U141)*Z141*X141</f>
        <v>0</v>
      </c>
      <c r="AC141" s="316">
        <f t="shared" si="63"/>
        <v>0</v>
      </c>
      <c r="AD141" s="316"/>
      <c r="AE141" s="320">
        <f>AA141/Sankey_diag!$H$62</f>
        <v>0</v>
      </c>
      <c r="AF141" s="316"/>
      <c r="AG141" s="316"/>
      <c r="AH141" s="350"/>
    </row>
    <row r="142" spans="1:34" ht="57.6" x14ac:dyDescent="0.3">
      <c r="A142" t="s">
        <v>659</v>
      </c>
      <c r="B142" s="459"/>
      <c r="C142" s="316"/>
      <c r="D142" s="456" t="s">
        <v>926</v>
      </c>
      <c r="E142" s="456" t="s">
        <v>660</v>
      </c>
      <c r="F142" s="316" t="s">
        <v>661</v>
      </c>
      <c r="G142" s="326" t="s">
        <v>927</v>
      </c>
      <c r="H142" s="330"/>
      <c r="I142" s="330" t="s">
        <v>663</v>
      </c>
      <c r="J142" s="330" t="s">
        <v>41</v>
      </c>
      <c r="K142" s="330">
        <v>3</v>
      </c>
      <c r="L142" s="330" t="s">
        <v>86</v>
      </c>
      <c r="M142" s="330" t="s">
        <v>44</v>
      </c>
      <c r="N142" s="330" t="s">
        <v>44</v>
      </c>
      <c r="O142" s="330"/>
      <c r="P142" s="330" t="s">
        <v>45</v>
      </c>
      <c r="Q142" s="330"/>
      <c r="R142" s="330"/>
      <c r="S142" s="348" t="s">
        <v>664</v>
      </c>
      <c r="T142" s="310">
        <v>1</v>
      </c>
      <c r="U142" s="332"/>
      <c r="V142" s="349"/>
      <c r="W142" s="322"/>
      <c r="X142" s="317"/>
      <c r="Y142" s="316"/>
      <c r="Z142" s="380"/>
      <c r="AA142" s="375">
        <f t="shared" si="61"/>
        <v>0</v>
      </c>
      <c r="AB142" s="316">
        <f t="shared" si="62"/>
        <v>0</v>
      </c>
      <c r="AC142" s="316">
        <f t="shared" si="63"/>
        <v>0</v>
      </c>
      <c r="AD142" s="316"/>
      <c r="AE142" s="320">
        <f>AA142/Sankey_diag!$H$62</f>
        <v>0</v>
      </c>
      <c r="AF142" s="316"/>
      <c r="AG142" s="316"/>
      <c r="AH142" s="350"/>
    </row>
    <row r="143" spans="1:34" x14ac:dyDescent="0.3">
      <c r="A143" t="s">
        <v>665</v>
      </c>
      <c r="B143" s="459"/>
      <c r="C143" s="316"/>
      <c r="D143" s="456"/>
      <c r="E143" s="456"/>
      <c r="F143" s="316" t="s">
        <v>666</v>
      </c>
      <c r="G143" s="326" t="s">
        <v>666</v>
      </c>
      <c r="H143" s="330"/>
      <c r="I143" s="330" t="s">
        <v>667</v>
      </c>
      <c r="J143" s="330" t="s">
        <v>41</v>
      </c>
      <c r="K143" s="330">
        <v>2</v>
      </c>
      <c r="L143" s="330" t="s">
        <v>86</v>
      </c>
      <c r="M143" s="330" t="s">
        <v>43</v>
      </c>
      <c r="N143" s="330" t="s">
        <v>44</v>
      </c>
      <c r="O143" s="330"/>
      <c r="P143" s="330" t="s">
        <v>45</v>
      </c>
      <c r="Q143" s="330"/>
      <c r="R143" s="330"/>
      <c r="S143" s="348" t="s">
        <v>668</v>
      </c>
      <c r="T143" s="312">
        <v>0.8</v>
      </c>
      <c r="U143" s="332"/>
      <c r="V143" s="349"/>
      <c r="W143" s="322"/>
      <c r="X143" s="317"/>
      <c r="Y143" s="316"/>
      <c r="Z143" s="319"/>
      <c r="AA143" s="375">
        <f t="shared" si="61"/>
        <v>0</v>
      </c>
      <c r="AB143" s="316">
        <f t="shared" si="62"/>
        <v>0</v>
      </c>
      <c r="AC143" s="316">
        <f t="shared" si="63"/>
        <v>0</v>
      </c>
      <c r="AD143" s="316"/>
      <c r="AE143" s="320">
        <f>AA143/Sankey_diag!$H$62</f>
        <v>0</v>
      </c>
      <c r="AF143" s="316"/>
      <c r="AG143" s="316" t="s">
        <v>77</v>
      </c>
      <c r="AH143" s="350" t="s">
        <v>669</v>
      </c>
    </row>
    <row r="144" spans="1:34" ht="28.8" x14ac:dyDescent="0.3">
      <c r="A144" t="s">
        <v>670</v>
      </c>
      <c r="B144" s="459"/>
      <c r="C144" s="316"/>
      <c r="D144" s="456"/>
      <c r="E144" s="456"/>
      <c r="F144" s="316" t="s">
        <v>671</v>
      </c>
      <c r="G144" s="326" t="s">
        <v>671</v>
      </c>
      <c r="H144" s="330"/>
      <c r="I144" s="330"/>
      <c r="J144" s="330" t="s">
        <v>41</v>
      </c>
      <c r="K144" s="330"/>
      <c r="L144" s="330" t="s">
        <v>53</v>
      </c>
      <c r="M144" s="330" t="s">
        <v>44</v>
      </c>
      <c r="N144" s="330" t="s">
        <v>44</v>
      </c>
      <c r="O144" s="330"/>
      <c r="P144" s="330" t="s">
        <v>45</v>
      </c>
      <c r="Q144" s="330"/>
      <c r="R144" s="330"/>
      <c r="S144" s="348" t="s">
        <v>672</v>
      </c>
      <c r="T144" s="312">
        <v>0.7</v>
      </c>
      <c r="U144" s="332"/>
      <c r="V144" s="349"/>
      <c r="W144" s="322"/>
      <c r="X144" s="317"/>
      <c r="Y144" s="316"/>
      <c r="Z144" s="319"/>
      <c r="AA144" s="375">
        <f t="shared" si="61"/>
        <v>0</v>
      </c>
      <c r="AB144" s="316">
        <f t="shared" si="62"/>
        <v>0</v>
      </c>
      <c r="AC144" s="316">
        <f t="shared" si="63"/>
        <v>0</v>
      </c>
      <c r="AD144" s="316"/>
      <c r="AE144" s="320">
        <f>AA144/Sankey_diag!$H$62</f>
        <v>0</v>
      </c>
      <c r="AF144" s="316"/>
      <c r="AG144" s="316" t="s">
        <v>389</v>
      </c>
      <c r="AH144" s="350" t="s">
        <v>669</v>
      </c>
    </row>
    <row r="145" spans="1:34" ht="28.8" x14ac:dyDescent="0.3">
      <c r="B145" s="459"/>
      <c r="C145" s="316"/>
      <c r="D145" s="456"/>
      <c r="E145" s="456"/>
      <c r="F145" s="316" t="s">
        <v>673</v>
      </c>
      <c r="G145" s="326" t="s">
        <v>2623</v>
      </c>
      <c r="H145" s="330"/>
      <c r="I145" s="330" t="s">
        <v>675</v>
      </c>
      <c r="J145" s="330" t="s">
        <v>52</v>
      </c>
      <c r="K145" s="330"/>
      <c r="L145" s="330" t="s">
        <v>86</v>
      </c>
      <c r="M145" s="330" t="s">
        <v>44</v>
      </c>
      <c r="N145" s="330" t="s">
        <v>44</v>
      </c>
      <c r="O145" s="330"/>
      <c r="P145" s="330" t="s">
        <v>45</v>
      </c>
      <c r="Q145" s="330"/>
      <c r="R145" s="330"/>
      <c r="S145" s="348" t="s">
        <v>676</v>
      </c>
      <c r="T145" s="310">
        <v>4</v>
      </c>
      <c r="U145" s="332"/>
      <c r="V145" s="349"/>
      <c r="W145" s="324"/>
      <c r="X145" s="317"/>
      <c r="Y145" s="316"/>
      <c r="Z145" s="319"/>
      <c r="AA145" s="375">
        <f t="shared" si="61"/>
        <v>0</v>
      </c>
      <c r="AB145" s="316">
        <f t="shared" si="62"/>
        <v>0</v>
      </c>
      <c r="AC145" s="316">
        <f t="shared" si="63"/>
        <v>0</v>
      </c>
      <c r="AD145" s="316"/>
      <c r="AE145" s="320">
        <f>AA145/Sankey_diag!$H$62</f>
        <v>0</v>
      </c>
      <c r="AF145" s="316"/>
      <c r="AG145" s="316" t="s">
        <v>77</v>
      </c>
      <c r="AH145" s="350" t="s">
        <v>677</v>
      </c>
    </row>
    <row r="146" spans="1:34" ht="28.8" x14ac:dyDescent="0.3">
      <c r="A146" t="s">
        <v>678</v>
      </c>
      <c r="B146" s="459"/>
      <c r="C146" s="316"/>
      <c r="D146" s="456"/>
      <c r="E146" s="456" t="s">
        <v>679</v>
      </c>
      <c r="F146" s="316" t="s">
        <v>680</v>
      </c>
      <c r="G146" s="326" t="s">
        <v>681</v>
      </c>
      <c r="H146" s="330"/>
      <c r="I146" s="330" t="s">
        <v>682</v>
      </c>
      <c r="J146" s="330" t="s">
        <v>41</v>
      </c>
      <c r="K146" s="330">
        <v>1</v>
      </c>
      <c r="L146" s="330" t="s">
        <v>86</v>
      </c>
      <c r="M146" s="330" t="s">
        <v>44</v>
      </c>
      <c r="N146" s="330" t="s">
        <v>44</v>
      </c>
      <c r="O146" s="330"/>
      <c r="P146" s="330" t="s">
        <v>106</v>
      </c>
      <c r="Q146" s="330"/>
      <c r="R146" s="330"/>
      <c r="S146" s="348" t="s">
        <v>683</v>
      </c>
      <c r="T146" s="310">
        <v>1</v>
      </c>
      <c r="U146" s="332"/>
      <c r="V146" s="349"/>
      <c r="W146" s="322"/>
      <c r="X146" s="317"/>
      <c r="Y146" s="316"/>
      <c r="Z146" s="380"/>
      <c r="AA146" s="375">
        <f t="shared" si="61"/>
        <v>0</v>
      </c>
      <c r="AB146" s="316">
        <f t="shared" si="62"/>
        <v>0</v>
      </c>
      <c r="AC146" s="316">
        <f t="shared" si="63"/>
        <v>0</v>
      </c>
      <c r="AD146" s="316"/>
      <c r="AE146" s="320">
        <f>AA146/Sankey_diag!$H$62</f>
        <v>0</v>
      </c>
      <c r="AF146" s="316"/>
      <c r="AG146" s="316" t="s">
        <v>77</v>
      </c>
      <c r="AH146" s="350"/>
    </row>
    <row r="147" spans="1:34" ht="28.8" x14ac:dyDescent="0.3">
      <c r="A147" t="s">
        <v>684</v>
      </c>
      <c r="B147" s="459"/>
      <c r="C147" s="316"/>
      <c r="D147" s="456"/>
      <c r="E147" s="456"/>
      <c r="F147" s="316" t="s">
        <v>685</v>
      </c>
      <c r="G147" s="326" t="s">
        <v>928</v>
      </c>
      <c r="H147" s="330"/>
      <c r="I147" s="330"/>
      <c r="J147" s="330" t="s">
        <v>41</v>
      </c>
      <c r="K147" s="330">
        <v>2</v>
      </c>
      <c r="L147" s="330" t="s">
        <v>53</v>
      </c>
      <c r="M147" s="330" t="s">
        <v>44</v>
      </c>
      <c r="N147" s="330" t="s">
        <v>44</v>
      </c>
      <c r="O147" s="330"/>
      <c r="P147" s="330" t="s">
        <v>45</v>
      </c>
      <c r="Q147" s="330"/>
      <c r="R147" s="330"/>
      <c r="S147" s="348" t="s">
        <v>687</v>
      </c>
      <c r="T147" s="312" t="s">
        <v>590</v>
      </c>
      <c r="U147" s="332"/>
      <c r="V147" s="349"/>
      <c r="W147" s="322"/>
      <c r="X147" s="317"/>
      <c r="Y147" s="316"/>
      <c r="Z147" s="319"/>
      <c r="AA147" s="375" t="e">
        <f t="shared" si="61"/>
        <v>#VALUE!</v>
      </c>
      <c r="AB147" s="316" t="e">
        <f t="shared" si="62"/>
        <v>#VALUE!</v>
      </c>
      <c r="AC147" s="316" t="e">
        <f t="shared" si="63"/>
        <v>#VALUE!</v>
      </c>
      <c r="AD147" s="316"/>
      <c r="AE147" s="320" t="e">
        <f>AA147/Sankey_diag!$H$62</f>
        <v>#VALUE!</v>
      </c>
      <c r="AF147" s="316"/>
      <c r="AG147" s="316"/>
      <c r="AH147" s="350"/>
    </row>
    <row r="148" spans="1:34" ht="28.8" x14ac:dyDescent="0.3">
      <c r="A148" t="s">
        <v>688</v>
      </c>
      <c r="B148" s="459"/>
      <c r="C148" s="316"/>
      <c r="D148" s="456"/>
      <c r="E148" s="456"/>
      <c r="F148" s="316" t="s">
        <v>689</v>
      </c>
      <c r="G148" s="326" t="s">
        <v>690</v>
      </c>
      <c r="H148" s="330"/>
      <c r="I148" s="330" t="s">
        <v>691</v>
      </c>
      <c r="J148" s="330" t="s">
        <v>41</v>
      </c>
      <c r="K148" s="330">
        <v>2</v>
      </c>
      <c r="L148" s="330" t="s">
        <v>86</v>
      </c>
      <c r="M148" s="330" t="s">
        <v>44</v>
      </c>
      <c r="N148" s="330" t="s">
        <v>44</v>
      </c>
      <c r="O148" s="330"/>
      <c r="P148" s="330" t="s">
        <v>45</v>
      </c>
      <c r="Q148" s="330"/>
      <c r="R148" s="330"/>
      <c r="S148" s="348" t="s">
        <v>692</v>
      </c>
      <c r="T148" s="311">
        <v>0.75</v>
      </c>
      <c r="U148" s="332"/>
      <c r="V148" s="349"/>
      <c r="W148" s="322"/>
      <c r="X148" s="317"/>
      <c r="Y148" s="316"/>
      <c r="Z148" s="316"/>
      <c r="AA148" s="375">
        <f t="shared" si="61"/>
        <v>0</v>
      </c>
      <c r="AB148" s="316">
        <f t="shared" si="62"/>
        <v>0</v>
      </c>
      <c r="AC148" s="316">
        <f t="shared" si="63"/>
        <v>0</v>
      </c>
      <c r="AD148" s="316"/>
      <c r="AE148" s="320">
        <f>AA148/Sankey_diag!$H$62</f>
        <v>0</v>
      </c>
      <c r="AF148" s="316"/>
      <c r="AG148" s="316"/>
      <c r="AH148" s="350"/>
    </row>
    <row r="149" spans="1:34" x14ac:dyDescent="0.3">
      <c r="A149" t="s">
        <v>693</v>
      </c>
      <c r="B149" s="459"/>
      <c r="C149" s="316"/>
      <c r="D149" s="456"/>
      <c r="E149" s="456"/>
      <c r="F149" s="316" t="s">
        <v>694</v>
      </c>
      <c r="G149" s="326" t="s">
        <v>695</v>
      </c>
      <c r="H149" s="330"/>
      <c r="I149" s="330"/>
      <c r="J149" s="330" t="s">
        <v>41</v>
      </c>
      <c r="K149" s="330">
        <v>2</v>
      </c>
      <c r="L149" s="330" t="s">
        <v>86</v>
      </c>
      <c r="M149" s="330" t="s">
        <v>111</v>
      </c>
      <c r="N149" s="330" t="s">
        <v>43</v>
      </c>
      <c r="O149" s="330"/>
      <c r="P149" s="330" t="s">
        <v>106</v>
      </c>
      <c r="Q149" s="330"/>
      <c r="R149" s="330"/>
      <c r="S149" s="348"/>
      <c r="T149" s="310"/>
      <c r="U149" s="332"/>
      <c r="V149" s="349"/>
      <c r="W149" s="322"/>
      <c r="X149" s="317"/>
      <c r="Y149" s="316"/>
      <c r="Z149" s="316"/>
      <c r="AA149" s="375">
        <f t="shared" si="61"/>
        <v>0</v>
      </c>
      <c r="AB149" s="316">
        <f t="shared" si="62"/>
        <v>0</v>
      </c>
      <c r="AC149" s="316">
        <f t="shared" si="63"/>
        <v>0</v>
      </c>
      <c r="AD149" s="316"/>
      <c r="AE149" s="320">
        <f>AA149/Sankey_diag!$H$62</f>
        <v>0</v>
      </c>
      <c r="AF149" s="316"/>
      <c r="AG149" s="316"/>
      <c r="AH149" s="350"/>
    </row>
    <row r="150" spans="1:34" ht="28.8" x14ac:dyDescent="0.3">
      <c r="B150" s="459"/>
      <c r="C150" s="316"/>
      <c r="D150" s="456"/>
      <c r="E150" s="456"/>
      <c r="F150" s="316" t="s">
        <v>696</v>
      </c>
      <c r="G150" s="329" t="s">
        <v>2622</v>
      </c>
      <c r="H150" s="330"/>
      <c r="I150" s="330"/>
      <c r="J150" s="330" t="s">
        <v>52</v>
      </c>
      <c r="K150" s="330"/>
      <c r="L150" s="330" t="s">
        <v>53</v>
      </c>
      <c r="M150" s="330" t="s">
        <v>43</v>
      </c>
      <c r="N150" s="330" t="s">
        <v>44</v>
      </c>
      <c r="O150" s="330"/>
      <c r="P150" s="330" t="s">
        <v>45</v>
      </c>
      <c r="Q150" s="330"/>
      <c r="R150" s="330"/>
      <c r="S150" s="348" t="s">
        <v>697</v>
      </c>
      <c r="T150" s="311">
        <v>0.8</v>
      </c>
      <c r="U150" s="332"/>
      <c r="V150" s="349"/>
      <c r="W150" s="324"/>
      <c r="X150" s="317"/>
      <c r="Y150" s="316"/>
      <c r="Z150" s="319"/>
      <c r="AA150" s="375">
        <f t="shared" si="61"/>
        <v>0</v>
      </c>
      <c r="AB150" s="316">
        <f t="shared" si="62"/>
        <v>0</v>
      </c>
      <c r="AC150" s="316">
        <f t="shared" si="63"/>
        <v>0</v>
      </c>
      <c r="AD150" s="316"/>
      <c r="AE150" s="320">
        <f>AA150/Sankey_diag!$H$62</f>
        <v>0</v>
      </c>
      <c r="AF150" s="316"/>
      <c r="AG150" s="316" t="s">
        <v>97</v>
      </c>
      <c r="AH150" s="350"/>
    </row>
    <row r="151" spans="1:34" ht="15" thickBot="1" x14ac:dyDescent="0.35">
      <c r="B151" s="460"/>
      <c r="C151" s="351"/>
      <c r="D151" s="457"/>
      <c r="E151" s="457"/>
      <c r="F151" s="351" t="s">
        <v>698</v>
      </c>
      <c r="G151" s="353" t="s">
        <v>698</v>
      </c>
      <c r="H151" s="354"/>
      <c r="I151" s="354"/>
      <c r="J151" s="354" t="s">
        <v>52</v>
      </c>
      <c r="K151" s="354"/>
      <c r="L151" s="354" t="s">
        <v>42</v>
      </c>
      <c r="M151" s="354"/>
      <c r="N151" s="354"/>
      <c r="O151" s="354"/>
      <c r="P151" s="354" t="s">
        <v>119</v>
      </c>
      <c r="Q151" s="354"/>
      <c r="R151" s="354"/>
      <c r="S151" s="356" t="s">
        <v>699</v>
      </c>
      <c r="T151" s="357">
        <v>0.5</v>
      </c>
      <c r="U151" s="358"/>
      <c r="V151" s="359"/>
      <c r="W151" s="368"/>
      <c r="X151" s="361"/>
      <c r="Y151" s="351"/>
      <c r="Z151" s="351"/>
      <c r="AA151" s="376">
        <f t="shared" si="61"/>
        <v>0</v>
      </c>
      <c r="AB151" s="351">
        <f t="shared" si="62"/>
        <v>0</v>
      </c>
      <c r="AC151" s="351">
        <f t="shared" si="63"/>
        <v>0</v>
      </c>
      <c r="AD151" s="351"/>
      <c r="AE151" s="362">
        <f>AA151/Sankey_diag!$H$62</f>
        <v>0</v>
      </c>
      <c r="AF151" s="351"/>
      <c r="AG151" s="351" t="s">
        <v>592</v>
      </c>
      <c r="AH151" s="363" t="s">
        <v>77</v>
      </c>
    </row>
    <row r="152" spans="1:34" ht="15" thickTop="1" x14ac:dyDescent="0.3"/>
  </sheetData>
  <autoFilter ref="A1:AH151" xr:uid="{28AF016E-6857-46A5-8FC5-E6FC83514BF0}"/>
  <mergeCells count="45">
    <mergeCell ref="B2:B12"/>
    <mergeCell ref="D2:D12"/>
    <mergeCell ref="E3:E5"/>
    <mergeCell ref="E8:E11"/>
    <mergeCell ref="B13:B22"/>
    <mergeCell ref="D13:D22"/>
    <mergeCell ref="E13:E22"/>
    <mergeCell ref="B23:B38"/>
    <mergeCell ref="D23:D38"/>
    <mergeCell ref="E23:E29"/>
    <mergeCell ref="E30:E32"/>
    <mergeCell ref="E33:E35"/>
    <mergeCell ref="E36:E37"/>
    <mergeCell ref="B39:B68"/>
    <mergeCell ref="D39:D68"/>
    <mergeCell ref="E44:E51"/>
    <mergeCell ref="E52:E55"/>
    <mergeCell ref="E56:E58"/>
    <mergeCell ref="E66:E68"/>
    <mergeCell ref="E41:E43"/>
    <mergeCell ref="E59:E65"/>
    <mergeCell ref="B69:B89"/>
    <mergeCell ref="D69:D89"/>
    <mergeCell ref="E71:E80"/>
    <mergeCell ref="E81:E89"/>
    <mergeCell ref="B90:B100"/>
    <mergeCell ref="D90:D100"/>
    <mergeCell ref="E92:E93"/>
    <mergeCell ref="E99:E100"/>
    <mergeCell ref="E94:E98"/>
    <mergeCell ref="B101:B115"/>
    <mergeCell ref="D101:D115"/>
    <mergeCell ref="E101:E111"/>
    <mergeCell ref="D116:D137"/>
    <mergeCell ref="E116:E117"/>
    <mergeCell ref="E132:E137"/>
    <mergeCell ref="B116:B138"/>
    <mergeCell ref="E112:E114"/>
    <mergeCell ref="E118:E131"/>
    <mergeCell ref="B139:B151"/>
    <mergeCell ref="D139:D141"/>
    <mergeCell ref="E139:E141"/>
    <mergeCell ref="D142:D151"/>
    <mergeCell ref="E142:E145"/>
    <mergeCell ref="E146:E151"/>
  </mergeCells>
  <dataValidations count="5">
    <dataValidation type="list" allowBlank="1" showInputMessage="1" showErrorMessage="1" sqref="K25 K39:K51 K54" xr:uid="{5BD16989-9B57-459A-9ED1-95CA89D4E5BA}">
      <formula1>Source</formula1>
    </dataValidation>
    <dataValidation type="list" allowBlank="1" showInputMessage="1" showErrorMessage="1" sqref="L89:L90 L29:L85 L1:L27 L92:L1048576" xr:uid="{9A5FFDA9-7C7E-42DD-AD6A-94AFA4D87CDC}">
      <formula1>Feasibility</formula1>
    </dataValidation>
    <dataValidation type="list" allowBlank="1" showInputMessage="1" showErrorMessage="1" sqref="C154:C1048576 C101:C151 C2:C98" xr:uid="{ACD454BA-EAAB-4868-BC8F-401975ED69D6}">
      <formula1>Source_d_emission_niv1</formula1>
    </dataValidation>
    <dataValidation type="list" allowBlank="1" showInputMessage="1" showErrorMessage="1" sqref="M89:N90 R24 M29:N85 R2:R11 M1:N27 M92:N1048576" xr:uid="{301F675D-007E-4B38-880B-FBF75E8B8708}">
      <formula1>HLM</formula1>
    </dataValidation>
    <dataValidation type="list" allowBlank="1" showInputMessage="1" showErrorMessage="1" sqref="R81 R99:R100 R95:R96 P89:P90 Q152:Q1048576 R24 R26 R60:R61 R68 R51 P29:P85 R2:R11 P1:P27 P92:P1048576" xr:uid="{11929A7A-6ADD-43D2-8871-55AE88C67B43}">
      <formula1>Ranking</formula1>
    </dataValidation>
  </dataValidations>
  <pageMargins left="0.7" right="0.7" top="0.75" bottom="0.75" header="0.3" footer="0.3"/>
  <pageSetup orientation="portrait" horizontalDpi="360" verticalDpi="36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D7497B3-8179-4268-AF90-7CD98E914461}">
          <x14:formula1>
            <xm:f>Lists!$E$2:$E$7</xm:f>
          </x14:formula1>
          <xm:sqref>J27 J29:J54 J1:J25 J56:J1048576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49062-3A36-4E5A-8AC3-291792B1A447}">
  <sheetPr codeName="Sheet5">
    <tabColor rgb="FF019CDB"/>
  </sheetPr>
  <dimension ref="A1:T172"/>
  <sheetViews>
    <sheetView tabSelected="1" zoomScale="60" zoomScaleNormal="60" workbookViewId="0">
      <pane ySplit="1" topLeftCell="A2" activePane="bottomLeft" state="frozen"/>
      <selection pane="bottomLeft" activeCell="E4" sqref="E4:E31"/>
    </sheetView>
  </sheetViews>
  <sheetFormatPr baseColWidth="10" defaultColWidth="8.88671875" defaultRowHeight="14.4" x14ac:dyDescent="0.3"/>
  <cols>
    <col min="1" max="1" width="17.44140625" customWidth="1"/>
    <col min="2" max="2" width="23.21875" customWidth="1"/>
    <col min="3" max="3" width="26.21875" customWidth="1"/>
    <col min="4" max="4" width="6.5546875" customWidth="1"/>
    <col min="5" max="6" width="19.44140625" customWidth="1"/>
    <col min="7" max="7" width="7.88671875" customWidth="1"/>
    <col min="8" max="8" width="108.88671875" style="169" customWidth="1"/>
    <col min="9" max="9" width="98.5546875" style="169" customWidth="1"/>
  </cols>
  <sheetData>
    <row r="1" spans="1:9" ht="39" customHeight="1" x14ac:dyDescent="0.3">
      <c r="A1" s="299" t="s">
        <v>2627</v>
      </c>
      <c r="B1" s="299" t="s">
        <v>2628</v>
      </c>
      <c r="C1" s="299" t="s">
        <v>2629</v>
      </c>
      <c r="D1" s="299"/>
      <c r="E1" s="299" t="s">
        <v>2664</v>
      </c>
      <c r="F1" s="299" t="s">
        <v>2663</v>
      </c>
      <c r="G1" s="299"/>
      <c r="H1" s="299" t="s">
        <v>2630</v>
      </c>
      <c r="I1" s="299" t="s">
        <v>929</v>
      </c>
    </row>
    <row r="2" spans="1:9" ht="67.2" customHeight="1" x14ac:dyDescent="0.3">
      <c r="A2" s="461" t="s">
        <v>2631</v>
      </c>
      <c r="B2" s="461" t="s">
        <v>2632</v>
      </c>
      <c r="C2" s="461" t="s">
        <v>2652</v>
      </c>
      <c r="D2" s="461" t="s">
        <v>2657</v>
      </c>
      <c r="E2" s="578" t="str">
        <f>Admin_2024!E62</f>
        <v>Utiliser de manière rationelle les espaces</v>
      </c>
      <c r="F2" s="578" t="s">
        <v>2633</v>
      </c>
      <c r="G2" s="245" t="s">
        <v>930</v>
      </c>
      <c r="H2" s="432" t="str">
        <f>Admin_2030!G67</f>
        <v>PST 1.1.2 Évoluer vers des environnements de travail dynamiques (Dynamic office)</v>
      </c>
      <c r="I2" s="432" t="s">
        <v>2688</v>
      </c>
    </row>
    <row r="3" spans="1:9" ht="28.8" customHeight="1" x14ac:dyDescent="0.3">
      <c r="A3" s="461"/>
      <c r="B3" s="461"/>
      <c r="C3" s="461"/>
      <c r="D3" s="461"/>
      <c r="E3" s="578"/>
      <c r="F3" s="578"/>
      <c r="G3" s="245" t="s">
        <v>933</v>
      </c>
      <c r="H3" s="248" t="str">
        <f>Admin_2030!G68</f>
        <v xml:space="preserve">Rationnaliser l'utilisation du chauffage (Chauffer les pièces utiles, en fonction de l'occupation du batiment) </v>
      </c>
      <c r="I3" s="248" t="s">
        <v>2689</v>
      </c>
    </row>
    <row r="4" spans="1:9" ht="28.8" customHeight="1" x14ac:dyDescent="0.3">
      <c r="A4" s="461"/>
      <c r="B4" s="461"/>
      <c r="C4" s="461"/>
      <c r="D4" s="461" t="s">
        <v>2656</v>
      </c>
      <c r="E4" s="461" t="str">
        <f>Admin_2024!E43</f>
        <v>Améliorer la performance énergétique des batiments</v>
      </c>
      <c r="F4" s="461" t="s">
        <v>2634</v>
      </c>
      <c r="G4" s="245" t="s">
        <v>934</v>
      </c>
      <c r="H4" s="435" t="str">
        <f>Admin_2030!G51</f>
        <v>Mettre en œuvre le plan d'action PLAGE pour améliorer la performance énergétique des batiments</v>
      </c>
      <c r="I4" s="435" t="s">
        <v>2690</v>
      </c>
    </row>
    <row r="5" spans="1:9" ht="28.8" customHeight="1" x14ac:dyDescent="0.3">
      <c r="A5" s="461"/>
      <c r="B5" s="461"/>
      <c r="C5" s="461"/>
      <c r="D5" s="461"/>
      <c r="E5" s="461"/>
      <c r="F5" s="461"/>
      <c r="G5" s="245" t="s">
        <v>935</v>
      </c>
      <c r="H5" s="435" t="str">
        <f>Admin_2030!G44</f>
        <v>Construire les nouveaux batiments, passifs ou BNE</v>
      </c>
      <c r="I5" s="435" t="s">
        <v>2691</v>
      </c>
    </row>
    <row r="6" spans="1:9" ht="28.8" customHeight="1" x14ac:dyDescent="0.3">
      <c r="A6" s="461"/>
      <c r="B6" s="461"/>
      <c r="C6" s="461"/>
      <c r="D6" s="461"/>
      <c r="E6" s="461"/>
      <c r="F6" s="461"/>
      <c r="G6" s="245" t="s">
        <v>936</v>
      </c>
      <c r="H6" s="436" t="s">
        <v>937</v>
      </c>
      <c r="I6" s="452" t="s">
        <v>2852</v>
      </c>
    </row>
    <row r="7" spans="1:9" ht="28.8" customHeight="1" x14ac:dyDescent="0.3">
      <c r="A7" s="461"/>
      <c r="B7" s="461"/>
      <c r="C7" s="461"/>
      <c r="D7" s="461"/>
      <c r="E7" s="461"/>
      <c r="F7" s="461"/>
      <c r="G7" s="245" t="s">
        <v>938</v>
      </c>
      <c r="H7" s="436" t="s">
        <v>939</v>
      </c>
      <c r="I7" s="436" t="s">
        <v>2692</v>
      </c>
    </row>
    <row r="8" spans="1:9" ht="28.8" customHeight="1" x14ac:dyDescent="0.3">
      <c r="A8" s="461"/>
      <c r="B8" s="461"/>
      <c r="C8" s="461"/>
      <c r="D8" s="461"/>
      <c r="E8" s="461"/>
      <c r="F8" s="461"/>
      <c r="G8" s="245" t="s">
        <v>940</v>
      </c>
      <c r="H8" s="436" t="s">
        <v>941</v>
      </c>
      <c r="I8" s="436" t="s">
        <v>2693</v>
      </c>
    </row>
    <row r="9" spans="1:9" ht="28.8" customHeight="1" x14ac:dyDescent="0.3">
      <c r="A9" s="461"/>
      <c r="B9" s="461"/>
      <c r="C9" s="461"/>
      <c r="D9" s="461"/>
      <c r="E9" s="461"/>
      <c r="F9" s="461"/>
      <c r="G9" s="245" t="s">
        <v>942</v>
      </c>
      <c r="H9" s="436" t="s">
        <v>943</v>
      </c>
      <c r="I9" s="436" t="s">
        <v>2694</v>
      </c>
    </row>
    <row r="10" spans="1:9" ht="28.8" customHeight="1" x14ac:dyDescent="0.3">
      <c r="A10" s="461"/>
      <c r="B10" s="461"/>
      <c r="C10" s="461"/>
      <c r="D10" s="461"/>
      <c r="E10" s="461"/>
      <c r="F10" s="461"/>
      <c r="G10" s="245" t="s">
        <v>944</v>
      </c>
      <c r="H10" s="436" t="s">
        <v>945</v>
      </c>
      <c r="I10" s="436" t="s">
        <v>2707</v>
      </c>
    </row>
    <row r="11" spans="1:9" ht="28.8" customHeight="1" x14ac:dyDescent="0.3">
      <c r="A11" s="461"/>
      <c r="B11" s="461"/>
      <c r="C11" s="461"/>
      <c r="D11" s="461"/>
      <c r="E11" s="461"/>
      <c r="F11" s="461"/>
      <c r="G11" s="245" t="s">
        <v>946</v>
      </c>
      <c r="H11" s="436" t="s">
        <v>947</v>
      </c>
      <c r="I11" s="436" t="s">
        <v>2695</v>
      </c>
    </row>
    <row r="12" spans="1:9" ht="28.8" customHeight="1" x14ac:dyDescent="0.3">
      <c r="A12" s="461"/>
      <c r="B12" s="461"/>
      <c r="C12" s="461"/>
      <c r="D12" s="461"/>
      <c r="E12" s="461"/>
      <c r="F12" s="461"/>
      <c r="G12" s="245" t="s">
        <v>948</v>
      </c>
      <c r="H12" s="436" t="s">
        <v>949</v>
      </c>
      <c r="I12" s="436" t="s">
        <v>2696</v>
      </c>
    </row>
    <row r="13" spans="1:9" ht="28.8" customHeight="1" x14ac:dyDescent="0.3">
      <c r="A13" s="461"/>
      <c r="B13" s="461"/>
      <c r="C13" s="461"/>
      <c r="D13" s="461"/>
      <c r="E13" s="461"/>
      <c r="F13" s="461"/>
      <c r="G13" s="245" t="s">
        <v>950</v>
      </c>
      <c r="H13" s="435" t="str">
        <f>Admin_2030!G45</f>
        <v>Entreprendre des rénovations grâce à l'aide de RénoClick, Sibelga</v>
      </c>
      <c r="I13" s="435" t="s">
        <v>2697</v>
      </c>
    </row>
    <row r="14" spans="1:9" ht="28.8" customHeight="1" x14ac:dyDescent="0.3">
      <c r="A14" s="461"/>
      <c r="B14" s="461"/>
      <c r="C14" s="461"/>
      <c r="D14" s="461"/>
      <c r="E14" s="461"/>
      <c r="F14" s="461"/>
      <c r="G14" s="245" t="s">
        <v>951</v>
      </c>
      <c r="H14" s="436" t="s">
        <v>952</v>
      </c>
      <c r="I14" s="436" t="s">
        <v>2698</v>
      </c>
    </row>
    <row r="15" spans="1:9" ht="28.8" customHeight="1" x14ac:dyDescent="0.3">
      <c r="A15" s="461"/>
      <c r="B15" s="461"/>
      <c r="C15" s="461"/>
      <c r="D15" s="461"/>
      <c r="E15" s="461"/>
      <c r="F15" s="461"/>
      <c r="G15" s="245" t="s">
        <v>953</v>
      </c>
      <c r="H15" s="436" t="s">
        <v>954</v>
      </c>
      <c r="I15" s="436" t="s">
        <v>2699</v>
      </c>
    </row>
    <row r="16" spans="1:9" ht="28.8" customHeight="1" x14ac:dyDescent="0.3">
      <c r="A16" s="461"/>
      <c r="B16" s="461"/>
      <c r="C16" s="461"/>
      <c r="D16" s="461"/>
      <c r="E16" s="461"/>
      <c r="F16" s="461"/>
      <c r="G16" s="245" t="s">
        <v>955</v>
      </c>
      <c r="H16" s="436" t="s">
        <v>956</v>
      </c>
      <c r="I16" s="436" t="s">
        <v>2700</v>
      </c>
    </row>
    <row r="17" spans="1:9" ht="28.8" customHeight="1" x14ac:dyDescent="0.3">
      <c r="A17" s="461"/>
      <c r="B17" s="461"/>
      <c r="C17" s="461"/>
      <c r="D17" s="461"/>
      <c r="E17" s="461"/>
      <c r="F17" s="461"/>
      <c r="G17" s="245" t="s">
        <v>957</v>
      </c>
      <c r="H17" s="435" t="str">
        <f>Admin_2030!G47</f>
        <v>Mettre en place un programme d’isolation des toitures des bâtiments communaux</v>
      </c>
      <c r="I17" s="435" t="s">
        <v>2701</v>
      </c>
    </row>
    <row r="18" spans="1:9" ht="28.8" customHeight="1" x14ac:dyDescent="0.3">
      <c r="A18" s="461"/>
      <c r="B18" s="461"/>
      <c r="C18" s="461"/>
      <c r="D18" s="461"/>
      <c r="E18" s="461"/>
      <c r="F18" s="461"/>
      <c r="G18" s="245" t="s">
        <v>958</v>
      </c>
      <c r="H18" s="436" t="s">
        <v>959</v>
      </c>
      <c r="I18" s="452" t="s">
        <v>2853</v>
      </c>
    </row>
    <row r="19" spans="1:9" ht="28.8" customHeight="1" x14ac:dyDescent="0.3">
      <c r="A19" s="461"/>
      <c r="B19" s="461"/>
      <c r="C19" s="461"/>
      <c r="D19" s="461"/>
      <c r="E19" s="461"/>
      <c r="F19" s="461"/>
      <c r="G19" s="245" t="s">
        <v>960</v>
      </c>
      <c r="H19" s="436" t="s">
        <v>961</v>
      </c>
      <c r="I19" s="436" t="s">
        <v>2702</v>
      </c>
    </row>
    <row r="20" spans="1:9" ht="28.8" customHeight="1" x14ac:dyDescent="0.3">
      <c r="A20" s="461"/>
      <c r="B20" s="461"/>
      <c r="C20" s="461"/>
      <c r="D20" s="461"/>
      <c r="E20" s="461"/>
      <c r="F20" s="461"/>
      <c r="G20" s="245" t="s">
        <v>962</v>
      </c>
      <c r="H20" s="436" t="s">
        <v>963</v>
      </c>
      <c r="I20" s="436" t="s">
        <v>2703</v>
      </c>
    </row>
    <row r="21" spans="1:9" ht="28.8" customHeight="1" x14ac:dyDescent="0.3">
      <c r="A21" s="461"/>
      <c r="B21" s="461"/>
      <c r="C21" s="461"/>
      <c r="D21" s="461"/>
      <c r="E21" s="461"/>
      <c r="F21" s="461"/>
      <c r="G21" s="245" t="s">
        <v>964</v>
      </c>
      <c r="H21" s="436" t="s">
        <v>965</v>
      </c>
      <c r="I21" s="436" t="s">
        <v>2704</v>
      </c>
    </row>
    <row r="22" spans="1:9" ht="28.8" customHeight="1" x14ac:dyDescent="0.3">
      <c r="A22" s="461"/>
      <c r="B22" s="461"/>
      <c r="C22" s="461"/>
      <c r="D22" s="461"/>
      <c r="E22" s="461"/>
      <c r="F22" s="461"/>
      <c r="G22" s="245" t="s">
        <v>966</v>
      </c>
      <c r="H22" s="436" t="s">
        <v>967</v>
      </c>
      <c r="I22" s="436" t="s">
        <v>2705</v>
      </c>
    </row>
    <row r="23" spans="1:9" ht="28.8" customHeight="1" x14ac:dyDescent="0.3">
      <c r="A23" s="461"/>
      <c r="B23" s="461"/>
      <c r="C23" s="461"/>
      <c r="D23" s="461"/>
      <c r="E23" s="461"/>
      <c r="F23" s="461"/>
      <c r="G23" s="245" t="s">
        <v>968</v>
      </c>
      <c r="H23" s="436" t="s">
        <v>969</v>
      </c>
      <c r="I23" s="436" t="s">
        <v>2708</v>
      </c>
    </row>
    <row r="24" spans="1:9" ht="28.8" customHeight="1" x14ac:dyDescent="0.3">
      <c r="A24" s="461"/>
      <c r="B24" s="461"/>
      <c r="C24" s="461"/>
      <c r="D24" s="461"/>
      <c r="E24" s="461"/>
      <c r="F24" s="461"/>
      <c r="G24" s="245" t="s">
        <v>970</v>
      </c>
      <c r="H24" s="436" t="s">
        <v>971</v>
      </c>
      <c r="I24" s="436" t="s">
        <v>2706</v>
      </c>
    </row>
    <row r="25" spans="1:9" ht="28.8" customHeight="1" x14ac:dyDescent="0.3">
      <c r="A25" s="461"/>
      <c r="B25" s="461"/>
      <c r="C25" s="461"/>
      <c r="D25" s="461"/>
      <c r="E25" s="461"/>
      <c r="F25" s="461"/>
      <c r="G25" s="245" t="s">
        <v>972</v>
      </c>
      <c r="H25" s="436" t="s">
        <v>2854</v>
      </c>
      <c r="I25" s="452" t="s">
        <v>2855</v>
      </c>
    </row>
    <row r="26" spans="1:9" ht="28.8" customHeight="1" x14ac:dyDescent="0.3">
      <c r="A26" s="461"/>
      <c r="B26" s="461"/>
      <c r="C26" s="461"/>
      <c r="D26" s="461"/>
      <c r="E26" s="461"/>
      <c r="F26" s="461"/>
      <c r="G26" s="245" t="s">
        <v>973</v>
      </c>
      <c r="H26" s="435" t="str">
        <f>Admin_2030!G48</f>
        <v>Réaliser des économies d’énergie en remplaçant les équipements énergivores et les anciens chauffages, en commençant par les plus énergivores et polluantes (chaufferies au mazout)</v>
      </c>
      <c r="I26" s="435" t="s">
        <v>2709</v>
      </c>
    </row>
    <row r="27" spans="1:9" ht="28.8" customHeight="1" x14ac:dyDescent="0.3">
      <c r="A27" s="461"/>
      <c r="B27" s="461"/>
      <c r="C27" s="461"/>
      <c r="D27" s="461"/>
      <c r="E27" s="461"/>
      <c r="F27" s="461"/>
      <c r="G27" s="245" t="s">
        <v>974</v>
      </c>
      <c r="H27" s="436" t="s">
        <v>975</v>
      </c>
      <c r="I27" s="436" t="s">
        <v>2710</v>
      </c>
    </row>
    <row r="28" spans="1:9" ht="28.8" customHeight="1" x14ac:dyDescent="0.3">
      <c r="A28" s="461"/>
      <c r="B28" s="461"/>
      <c r="C28" s="461"/>
      <c r="D28" s="461"/>
      <c r="E28" s="461"/>
      <c r="F28" s="461"/>
      <c r="G28" s="245" t="s">
        <v>976</v>
      </c>
      <c r="H28" s="435" t="str">
        <f>Admin_2030!G49</f>
        <v>Mettre en place une régulation sur les plus grosses chaufferies</v>
      </c>
      <c r="I28" s="435" t="s">
        <v>2725</v>
      </c>
    </row>
    <row r="29" spans="1:9" ht="28.8" customHeight="1" x14ac:dyDescent="0.3">
      <c r="A29" s="461"/>
      <c r="B29" s="461"/>
      <c r="C29" s="461"/>
      <c r="D29" s="461"/>
      <c r="E29" s="461"/>
      <c r="F29" s="461"/>
      <c r="G29" s="245" t="s">
        <v>977</v>
      </c>
      <c r="H29" s="436" t="s">
        <v>978</v>
      </c>
      <c r="I29" s="436" t="s">
        <v>978</v>
      </c>
    </row>
    <row r="30" spans="1:9" ht="28.8" customHeight="1" x14ac:dyDescent="0.3">
      <c r="A30" s="461"/>
      <c r="B30" s="461"/>
      <c r="C30" s="461"/>
      <c r="D30" s="461"/>
      <c r="E30" s="461"/>
      <c r="F30" s="461"/>
      <c r="G30" s="245" t="s">
        <v>979</v>
      </c>
      <c r="H30" s="436" t="s">
        <v>980</v>
      </c>
      <c r="I30" s="436" t="s">
        <v>2711</v>
      </c>
    </row>
    <row r="31" spans="1:9" ht="28.8" customHeight="1" x14ac:dyDescent="0.3">
      <c r="A31" s="461"/>
      <c r="B31" s="461"/>
      <c r="C31" s="461"/>
      <c r="D31" s="461"/>
      <c r="E31" s="461"/>
      <c r="F31" s="461"/>
      <c r="G31" s="245" t="s">
        <v>981</v>
      </c>
      <c r="H31" s="248" t="str">
        <f>Admin_2030!G50</f>
        <v>Remplacer les ampoules traditionnelles en fin de vie par des ampoules LED</v>
      </c>
      <c r="I31" s="248" t="s">
        <v>2712</v>
      </c>
    </row>
    <row r="32" spans="1:9" ht="40.200000000000003" customHeight="1" x14ac:dyDescent="0.3">
      <c r="A32" s="461"/>
      <c r="B32" s="461"/>
      <c r="C32" s="461"/>
      <c r="D32" s="461" t="s">
        <v>2655</v>
      </c>
      <c r="E32" s="461" t="str">
        <f>Admin_2024!E58</f>
        <v>Opérer un shift vers des énergies faibles en carbone ou renouvlables</v>
      </c>
      <c r="F32" s="461" t="s">
        <v>2635</v>
      </c>
      <c r="G32" s="245" t="s">
        <v>983</v>
      </c>
      <c r="H32" s="432" t="str">
        <f>Admin_2030!G59</f>
        <v>PST 8.3.1. Produire du solaire photovoltaïque sur fonds propres et par tiers-investisseur (école Champs des tournesols, Crèche Reine Fabiola, école Clarté,  école du Poelbosch, salle de gym de l'école Jacques Brel)</v>
      </c>
      <c r="I32" s="432" t="s">
        <v>2713</v>
      </c>
    </row>
    <row r="33" spans="1:9" ht="28.8" customHeight="1" x14ac:dyDescent="0.3">
      <c r="A33" s="461"/>
      <c r="B33" s="461"/>
      <c r="C33" s="461"/>
      <c r="D33" s="461"/>
      <c r="E33" s="461"/>
      <c r="F33" s="461"/>
      <c r="G33" s="245" t="s">
        <v>985</v>
      </c>
      <c r="H33" s="436" t="s">
        <v>986</v>
      </c>
      <c r="I33" s="436" t="s">
        <v>2714</v>
      </c>
    </row>
    <row r="34" spans="1:9" ht="28.8" customHeight="1" x14ac:dyDescent="0.3">
      <c r="A34" s="461"/>
      <c r="B34" s="461"/>
      <c r="C34" s="461"/>
      <c r="D34" s="461"/>
      <c r="E34" s="461"/>
      <c r="F34" s="461"/>
      <c r="G34" s="245" t="s">
        <v>987</v>
      </c>
      <c r="H34" s="436" t="s">
        <v>988</v>
      </c>
      <c r="I34" s="436" t="s">
        <v>2715</v>
      </c>
    </row>
    <row r="35" spans="1:9" ht="28.8" customHeight="1" x14ac:dyDescent="0.3">
      <c r="A35" s="461"/>
      <c r="B35" s="461"/>
      <c r="C35" s="461"/>
      <c r="D35" s="461"/>
      <c r="E35" s="461"/>
      <c r="F35" s="461"/>
      <c r="G35" s="245" t="s">
        <v>989</v>
      </c>
      <c r="H35" s="436" t="s">
        <v>990</v>
      </c>
      <c r="I35" s="436" t="s">
        <v>2716</v>
      </c>
    </row>
    <row r="36" spans="1:9" ht="28.8" customHeight="1" x14ac:dyDescent="0.3">
      <c r="A36" s="461"/>
      <c r="B36" s="461"/>
      <c r="C36" s="461"/>
      <c r="D36" s="461"/>
      <c r="E36" s="461"/>
      <c r="F36" s="461"/>
      <c r="G36" s="245" t="s">
        <v>991</v>
      </c>
      <c r="H36" s="436" t="s">
        <v>992</v>
      </c>
      <c r="I36" s="452" t="s">
        <v>2856</v>
      </c>
    </row>
    <row r="37" spans="1:9" ht="47.4" customHeight="1" x14ac:dyDescent="0.3">
      <c r="A37" s="461"/>
      <c r="B37" s="461"/>
      <c r="C37" s="461"/>
      <c r="D37" s="461"/>
      <c r="E37" s="461"/>
      <c r="F37" s="461"/>
      <c r="G37" s="245" t="s">
        <v>993</v>
      </c>
      <c r="H37" s="248" t="str">
        <f>Admin_2030!G62</f>
        <v>Recourir à un fournisseur d’électricité d’origine 100% verte pour tous les bâtiments communaux et du CPAS dans le cadre d’un marché conjoint avec les autres communes de la zone de police de Bruxelles-Ouest, et  ouvrir la réflexion sur les communautés d'énergie et les coopératives citoyenne</v>
      </c>
      <c r="I37" s="248" t="s">
        <v>2717</v>
      </c>
    </row>
    <row r="38" spans="1:9" ht="42.6" customHeight="1" x14ac:dyDescent="0.3">
      <c r="A38" s="461"/>
      <c r="B38" s="461"/>
      <c r="C38" s="461"/>
      <c r="D38" s="461"/>
      <c r="E38" s="461"/>
      <c r="F38" s="461"/>
      <c r="G38" s="245" t="s">
        <v>994</v>
      </c>
      <c r="H38" s="435" t="str">
        <f>Admin_2030!G63</f>
        <v xml:space="preserve">Remplacement des chaudières à gaz par des pompes à chaleurs (hybrides) ou autre solutions innovantes selon un planning à définir.  </v>
      </c>
      <c r="I38" s="435" t="s">
        <v>2718</v>
      </c>
    </row>
    <row r="39" spans="1:9" ht="28.8" customHeight="1" x14ac:dyDescent="0.3">
      <c r="A39" s="461"/>
      <c r="B39" s="461"/>
      <c r="C39" s="461"/>
      <c r="D39" s="461"/>
      <c r="E39" s="461"/>
      <c r="F39" s="461"/>
      <c r="G39" s="245" t="s">
        <v>995</v>
      </c>
      <c r="H39" s="436" t="s">
        <v>996</v>
      </c>
      <c r="I39" s="436" t="s">
        <v>2719</v>
      </c>
    </row>
    <row r="40" spans="1:9" ht="52.2" customHeight="1" x14ac:dyDescent="0.3">
      <c r="A40" s="461"/>
      <c r="B40" s="461"/>
      <c r="C40" s="461"/>
      <c r="D40" s="461"/>
      <c r="E40" s="461"/>
      <c r="F40" s="461"/>
      <c r="G40" s="245" t="s">
        <v>997</v>
      </c>
      <c r="H40" s="435" t="str">
        <f>Admin_2030!G64</f>
        <v xml:space="preserve">Installation de pompes à chaleurs (hybrides) ou solution innovante dans tous les nouvelles installations ou c'est techniquement possible. </v>
      </c>
      <c r="I40" s="435" t="s">
        <v>2720</v>
      </c>
    </row>
    <row r="41" spans="1:9" ht="28.8" customHeight="1" x14ac:dyDescent="0.3">
      <c r="A41" s="461"/>
      <c r="B41" s="461"/>
      <c r="C41" s="461"/>
      <c r="D41" s="461"/>
      <c r="E41" s="461"/>
      <c r="F41" s="461"/>
      <c r="G41" s="245" t="s">
        <v>998</v>
      </c>
      <c r="H41" s="436" t="s">
        <v>943</v>
      </c>
      <c r="I41" s="436" t="s">
        <v>2694</v>
      </c>
    </row>
    <row r="42" spans="1:9" ht="28.8" customHeight="1" x14ac:dyDescent="0.3">
      <c r="A42" s="461"/>
      <c r="B42" s="461"/>
      <c r="C42" s="461"/>
      <c r="D42" s="461"/>
      <c r="E42" s="461"/>
      <c r="F42" s="461"/>
      <c r="G42" s="245" t="s">
        <v>999</v>
      </c>
      <c r="H42" s="436" t="s">
        <v>1000</v>
      </c>
      <c r="I42" s="436" t="s">
        <v>2721</v>
      </c>
    </row>
    <row r="43" spans="1:9" ht="28.8" customHeight="1" x14ac:dyDescent="0.3">
      <c r="A43" s="461"/>
      <c r="B43" s="461"/>
      <c r="C43" s="461"/>
      <c r="D43" s="461"/>
      <c r="E43" s="461"/>
      <c r="F43" s="461"/>
      <c r="G43" s="245" t="s">
        <v>1001</v>
      </c>
      <c r="H43" s="248" t="str">
        <f>Admin_2030!G65</f>
        <v xml:space="preserve">Achat de biogas ou hydrogène verte (direct ou via le systeme de guaranties d'origine) pour obtenir l'objectif. </v>
      </c>
      <c r="I43" s="248" t="s">
        <v>2722</v>
      </c>
    </row>
    <row r="44" spans="1:9" ht="69.599999999999994" customHeight="1" x14ac:dyDescent="0.3">
      <c r="A44" s="461"/>
      <c r="B44" s="461"/>
      <c r="C44" s="461"/>
      <c r="D44" s="244" t="s">
        <v>2653</v>
      </c>
      <c r="E44" s="244" t="str">
        <f>Admin_2024!E39</f>
        <v>Mettre en place des dispositifs et infrastructures d'économie d'eau</v>
      </c>
      <c r="F44" s="244" t="s">
        <v>2636</v>
      </c>
      <c r="G44" s="245" t="s">
        <v>1003</v>
      </c>
      <c r="H44" s="133" t="str">
        <f>Admin_2030!G39</f>
        <v>Equiper les bâtiments d'équipements pour économiser l'eau (robinets automatiques, double chasse etc)</v>
      </c>
      <c r="I44" s="133" t="s">
        <v>2723</v>
      </c>
    </row>
    <row r="45" spans="1:9" ht="28.8" customHeight="1" x14ac:dyDescent="0.3">
      <c r="A45" s="461"/>
      <c r="B45" s="461"/>
      <c r="C45" s="461"/>
      <c r="D45" s="461" t="s">
        <v>2654</v>
      </c>
      <c r="E45" s="461" t="str">
        <f>Admin_2024!E41</f>
        <v>Améliorer la connaissance et faire un monitoring des économies d'énergie dans les bâtiments</v>
      </c>
      <c r="F45" s="461" t="s">
        <v>2777</v>
      </c>
      <c r="G45" s="245" t="s">
        <v>1004</v>
      </c>
      <c r="H45" s="435" t="str">
        <f>Admin_2030!G41</f>
        <v xml:space="preserve">Participer à des échanges de bonnes pratiques entre communes </v>
      </c>
      <c r="I45" s="435" t="s">
        <v>2639</v>
      </c>
    </row>
    <row r="46" spans="1:9" ht="28.8" customHeight="1" x14ac:dyDescent="0.3">
      <c r="A46" s="461"/>
      <c r="B46" s="461"/>
      <c r="C46" s="461"/>
      <c r="D46" s="461"/>
      <c r="E46" s="461"/>
      <c r="F46" s="461"/>
      <c r="G46" s="245" t="s">
        <v>1005</v>
      </c>
      <c r="H46" s="435" t="str">
        <f>Admin_2030!G42</f>
        <v>Mettre en place un monitoring des consommations en temps réel et une comptabilité énergétique (Système NR-Click) en partenariat avec Sibelga afin de pouvoir repérer les anomalies et réagir si nécessaire</v>
      </c>
      <c r="I46" s="435" t="s">
        <v>2640</v>
      </c>
    </row>
    <row r="47" spans="1:9" ht="28.8" customHeight="1" x14ac:dyDescent="0.3">
      <c r="A47" s="461"/>
      <c r="B47" s="461"/>
      <c r="C47" s="461"/>
      <c r="D47" s="461"/>
      <c r="E47" s="461"/>
      <c r="F47" s="461"/>
      <c r="G47" s="245" t="s">
        <v>1007</v>
      </c>
      <c r="H47" s="436" t="s">
        <v>1008</v>
      </c>
      <c r="I47" s="436" t="s">
        <v>2641</v>
      </c>
    </row>
    <row r="48" spans="1:9" ht="28.8" customHeight="1" x14ac:dyDescent="0.3">
      <c r="A48" s="461"/>
      <c r="B48" s="461"/>
      <c r="C48" s="461"/>
      <c r="D48" s="461"/>
      <c r="E48" s="461"/>
      <c r="F48" s="461"/>
      <c r="G48" s="245" t="s">
        <v>1009</v>
      </c>
      <c r="H48" s="435" t="str">
        <f>Admin_2030!G43</f>
        <v>Après travaux de rénovation dans une crèche, faire vérifier la qualité de l'air intérieur et remédier aux problèmes (vérifications à faire par le maitre d’œuvre à intégrer aux marchés)</v>
      </c>
      <c r="I48" s="435" t="s">
        <v>2642</v>
      </c>
    </row>
    <row r="49" spans="1:9" ht="28.8" customHeight="1" x14ac:dyDescent="0.3">
      <c r="A49" s="461"/>
      <c r="B49" s="461"/>
      <c r="C49" s="461"/>
      <c r="D49" s="461"/>
      <c r="E49" s="461"/>
      <c r="F49" s="461"/>
      <c r="G49" s="245" t="s">
        <v>1010</v>
      </c>
      <c r="H49" s="436" t="s">
        <v>1011</v>
      </c>
      <c r="I49" s="436" t="s">
        <v>2643</v>
      </c>
    </row>
    <row r="50" spans="1:9" ht="28.8" customHeight="1" x14ac:dyDescent="0.3">
      <c r="A50" s="461"/>
      <c r="B50" s="461"/>
      <c r="C50" s="461"/>
      <c r="D50" s="463" t="s">
        <v>2658</v>
      </c>
      <c r="E50" s="463" t="str">
        <f>Admin_2024!E55</f>
        <v>Sensibiliser et changer le comportements des gestionnaires et utilisateurs des bâtiments communaux</v>
      </c>
      <c r="F50" s="461" t="s">
        <v>2637</v>
      </c>
      <c r="G50" s="244" t="s">
        <v>1012</v>
      </c>
      <c r="H50" s="435" t="str">
        <f>Admin_2030!G56</f>
        <v>Mettre en place des formations et sensibiliser le personnel occupant les bâtiments</v>
      </c>
      <c r="I50" s="435" t="s">
        <v>2644</v>
      </c>
    </row>
    <row r="51" spans="1:9" ht="28.8" customHeight="1" x14ac:dyDescent="0.3">
      <c r="A51" s="461"/>
      <c r="B51" s="461"/>
      <c r="C51" s="461"/>
      <c r="D51" s="463"/>
      <c r="E51" s="463"/>
      <c r="F51" s="461"/>
      <c r="G51" s="244" t="s">
        <v>1013</v>
      </c>
      <c r="H51" s="436" t="str">
        <f>Admin_2030!G57</f>
        <v>Sous action 4AD1 : Poster des idées concernant l'économie d'énergie sur l'intranet</v>
      </c>
      <c r="I51" s="436" t="s">
        <v>2645</v>
      </c>
    </row>
    <row r="52" spans="1:9" ht="28.8" customHeight="1" x14ac:dyDescent="0.3">
      <c r="A52" s="461"/>
      <c r="B52" s="461"/>
      <c r="C52" s="461"/>
      <c r="D52" s="463"/>
      <c r="E52" s="463"/>
      <c r="F52" s="461"/>
      <c r="G52" s="244" t="s">
        <v>1014</v>
      </c>
      <c r="H52" s="436" t="str">
        <f>Admin_2030!G58</f>
        <v>Sous action 4AD1 : Sensibiliser les utilisateurs à l'utilisation du chauffage (ex : mesurer la t°…) avec consigne générale votée par le Collège/Codir</v>
      </c>
      <c r="I52" s="436" t="s">
        <v>2646</v>
      </c>
    </row>
    <row r="53" spans="1:9" ht="28.8" customHeight="1" x14ac:dyDescent="0.3">
      <c r="A53" s="461"/>
      <c r="B53" s="461"/>
      <c r="C53" s="461"/>
      <c r="D53" s="461" t="s">
        <v>2659</v>
      </c>
      <c r="E53" s="461" t="str">
        <f>Admin_2024!E51</f>
        <v xml:space="preserve">Mettre en place une bonne gouvernance et un système de gestion permettant une amélioration continue. </v>
      </c>
      <c r="F53" s="461" t="s">
        <v>2638</v>
      </c>
      <c r="G53" s="245" t="s">
        <v>1015</v>
      </c>
      <c r="H53" s="248" t="s">
        <v>1016</v>
      </c>
      <c r="I53" s="248" t="s">
        <v>2649</v>
      </c>
    </row>
    <row r="54" spans="1:9" ht="28.8" customHeight="1" x14ac:dyDescent="0.3">
      <c r="A54" s="461"/>
      <c r="B54" s="461"/>
      <c r="C54" s="461"/>
      <c r="D54" s="461"/>
      <c r="E54" s="461"/>
      <c r="F54" s="461"/>
      <c r="G54" s="245" t="s">
        <v>1017</v>
      </c>
      <c r="H54" s="248" t="str">
        <f>Admin_2030!G54</f>
        <v>Utilisation optimale des subsides régionaux disponibles (e.g. PPT (programme prioritaire des travaux))</v>
      </c>
      <c r="I54" s="248" t="s">
        <v>2648</v>
      </c>
    </row>
    <row r="55" spans="1:9" ht="28.8" customHeight="1" x14ac:dyDescent="0.3">
      <c r="A55" s="461"/>
      <c r="B55" s="461"/>
      <c r="C55" s="461"/>
      <c r="D55" s="461"/>
      <c r="E55" s="461"/>
      <c r="F55" s="461"/>
      <c r="G55" s="245" t="s">
        <v>1018</v>
      </c>
      <c r="H55" s="248" t="str">
        <f>Admin_2030!G55</f>
        <v>Mettre en place une éco-team</v>
      </c>
      <c r="I55" s="248" t="s">
        <v>2647</v>
      </c>
    </row>
    <row r="56" spans="1:9" ht="28.8" customHeight="1" x14ac:dyDescent="0.3">
      <c r="A56" s="461"/>
      <c r="B56" s="461"/>
      <c r="C56" s="461"/>
      <c r="D56" s="461"/>
      <c r="E56" s="461"/>
      <c r="F56" s="461"/>
      <c r="G56" s="245" t="s">
        <v>1019</v>
      </c>
      <c r="H56" s="439" t="str">
        <f>Admin_2030!G53</f>
        <v>Prévoir les ressources humaines et financières en lien avec les actions proposées (priorités à définir en vue d'atteindre les objectifs)</v>
      </c>
      <c r="I56" s="439" t="s">
        <v>2650</v>
      </c>
    </row>
    <row r="57" spans="1:9" s="430" customFormat="1" ht="6" customHeight="1" x14ac:dyDescent="0.3">
      <c r="A57" s="431" t="s">
        <v>1020</v>
      </c>
      <c r="B57" s="428"/>
      <c r="C57" s="428"/>
      <c r="D57" s="428"/>
      <c r="E57" s="428"/>
      <c r="F57" s="428"/>
      <c r="G57" s="428"/>
      <c r="H57" s="429"/>
      <c r="I57" s="429"/>
    </row>
    <row r="58" spans="1:9" ht="28.8" x14ac:dyDescent="0.3">
      <c r="A58" s="461" t="str">
        <f>Admin_2024!B106</f>
        <v>Mobilité + Transport de marchandises et véhicules utilitaires / Mobiliteit + goederenvervoer en gebruiksvoertuigen</v>
      </c>
      <c r="B58" s="461" t="s">
        <v>2651</v>
      </c>
      <c r="C58" s="461" t="str">
        <f>Admin_2024!D106</f>
        <v>OS 2 Encourager les déplacements bas carbone et réduire les nécessités de déplacements / SD 2 Koolstofarme verplaatsingen aanmoedigen en de noodzaak voor verplaatsingen verminderen</v>
      </c>
      <c r="D58" s="461" t="s">
        <v>2660</v>
      </c>
      <c r="E58" s="461" t="str">
        <f>Admin_2024!E120</f>
        <v>Réduire les nécessités de déplacements</v>
      </c>
      <c r="F58" s="461" t="s">
        <v>2665</v>
      </c>
      <c r="G58" s="245" t="s">
        <v>1021</v>
      </c>
      <c r="H58" s="247" t="str">
        <f>Admin_2030!G137</f>
        <v>Encourager le télétravail pour limiter les déplacements domicile-travail (norme proposée à 2j/semaine pour les fonctions télétravaillables)</v>
      </c>
      <c r="I58" s="247" t="s">
        <v>2668</v>
      </c>
    </row>
    <row r="59" spans="1:9" ht="28.8" customHeight="1" x14ac:dyDescent="0.3">
      <c r="A59" s="461"/>
      <c r="B59" s="461"/>
      <c r="C59" s="461"/>
      <c r="D59" s="461"/>
      <c r="E59" s="461"/>
      <c r="F59" s="461"/>
      <c r="G59" s="245" t="s">
        <v>1022</v>
      </c>
      <c r="H59" s="247" t="str">
        <f>Admin_2030!G132</f>
        <v>Réduire les kilomètres parcourus dans le cadre du transport des déchets de propreté publique</v>
      </c>
      <c r="I59" s="247" t="s">
        <v>2669</v>
      </c>
    </row>
    <row r="60" spans="1:9" ht="28.8" customHeight="1" x14ac:dyDescent="0.3">
      <c r="A60" s="461"/>
      <c r="B60" s="461"/>
      <c r="C60" s="461"/>
      <c r="D60" s="461"/>
      <c r="E60" s="461"/>
      <c r="F60" s="461"/>
      <c r="G60" s="245" t="s">
        <v>1023</v>
      </c>
      <c r="H60" s="247" t="str">
        <f>Admin_2030!G134</f>
        <v>Organiser des commandes groupées (ex Colruyt) pour limiter les transports par les magasiniers</v>
      </c>
      <c r="I60" s="247" t="s">
        <v>2670</v>
      </c>
    </row>
    <row r="61" spans="1:9" ht="37.799999999999997" customHeight="1" x14ac:dyDescent="0.3">
      <c r="A61" s="461"/>
      <c r="B61" s="461"/>
      <c r="C61" s="461"/>
      <c r="D61" s="461" t="s">
        <v>2661</v>
      </c>
      <c r="E61" s="461" t="str">
        <f>Admin_2030!E116</f>
        <v>Réduire, diversifier et électrifier le charroi communal</v>
      </c>
      <c r="F61" s="461" t="s">
        <v>2666</v>
      </c>
      <c r="G61" s="245" t="s">
        <v>1024</v>
      </c>
      <c r="H61" s="433" t="str">
        <f>Admin_2030!G116</f>
        <v>PST 8.2.1. Moderniser le charroi communal (norme Euro 5, achat programmé de véhicules hybrides / électriques,…), favoriser le leasing, et les voitures partagées en vue de répondre à la Low Emission Zone (fin du thermique en 2035 au plus tard</v>
      </c>
      <c r="I61" s="433" t="s">
        <v>2671</v>
      </c>
    </row>
    <row r="62" spans="1:9" ht="28.8" customHeight="1" x14ac:dyDescent="0.3">
      <c r="A62" s="461"/>
      <c r="B62" s="461"/>
      <c r="C62" s="461"/>
      <c r="D62" s="461"/>
      <c r="E62" s="461"/>
      <c r="F62" s="461"/>
      <c r="G62" s="245" t="s">
        <v>1025</v>
      </c>
      <c r="H62" s="247" t="str">
        <f>Admin_2030!G117</f>
        <v>Installer des bornes de recharge électriques couplées à une production d'énergie renouvelable</v>
      </c>
      <c r="I62" s="247" t="s">
        <v>2672</v>
      </c>
    </row>
    <row r="63" spans="1:9" ht="28.8" customHeight="1" x14ac:dyDescent="0.3">
      <c r="A63" s="461"/>
      <c r="B63" s="461"/>
      <c r="C63" s="461"/>
      <c r="D63" s="461"/>
      <c r="E63" s="461"/>
      <c r="F63" s="461"/>
      <c r="G63" s="245" t="s">
        <v>1027</v>
      </c>
      <c r="H63" s="247" t="str">
        <f>Admin_2030!G120</f>
        <v>Mettre en place un système de partage des gros véhicules entre communes</v>
      </c>
      <c r="I63" s="247" t="s">
        <v>2673</v>
      </c>
    </row>
    <row r="64" spans="1:9" ht="28.8" customHeight="1" x14ac:dyDescent="0.3">
      <c r="A64" s="461"/>
      <c r="B64" s="461"/>
      <c r="C64" s="461"/>
      <c r="D64" s="461"/>
      <c r="E64" s="461"/>
      <c r="F64" s="461"/>
      <c r="G64" s="245" t="s">
        <v>1028</v>
      </c>
      <c r="H64" s="437" t="str">
        <f>Admin_2030!G126</f>
        <v>Stimuler l’utilisation de véhicules et vélos partagés et électriques via des campagnes de sensibilisation et des groupes de réflexion</v>
      </c>
      <c r="I64" s="437" t="s">
        <v>2674</v>
      </c>
    </row>
    <row r="65" spans="1:9" ht="28.8" customHeight="1" x14ac:dyDescent="0.3">
      <c r="A65" s="461"/>
      <c r="B65" s="461"/>
      <c r="C65" s="461"/>
      <c r="D65" s="461"/>
      <c r="E65" s="461"/>
      <c r="F65" s="461"/>
      <c r="G65" s="245" t="s">
        <v>2605</v>
      </c>
      <c r="H65" s="440" t="s">
        <v>2606</v>
      </c>
      <c r="I65" s="440" t="s">
        <v>2675</v>
      </c>
    </row>
    <row r="66" spans="1:9" ht="46.2" customHeight="1" x14ac:dyDescent="0.3">
      <c r="A66" s="461"/>
      <c r="B66" s="461"/>
      <c r="C66" s="461"/>
      <c r="D66" s="461"/>
      <c r="E66" s="461"/>
      <c r="F66" s="461"/>
      <c r="G66" s="245" t="s">
        <v>1029</v>
      </c>
      <c r="H66" s="247" t="str">
        <f>Admin_2030!G127</f>
        <v>Insérer systématiquement des clauses environnementales dans les cahiers des charges liés à l’achat de nouveaux véhicules, en fixant des objectifs plus ambitieux que ceux imposés par l’ordonnance « véhicules exemplaires » (&gt; achat)</v>
      </c>
      <c r="I66" s="434" t="s">
        <v>2913</v>
      </c>
    </row>
    <row r="67" spans="1:9" ht="28.8" customHeight="1" x14ac:dyDescent="0.3">
      <c r="A67" s="461"/>
      <c r="B67" s="461"/>
      <c r="C67" s="461"/>
      <c r="D67" s="461"/>
      <c r="E67" s="461"/>
      <c r="F67" s="461"/>
      <c r="G67" s="245" t="s">
        <v>1030</v>
      </c>
      <c r="H67" s="247" t="str">
        <f>Admin_2030!G129</f>
        <v>Réaliser un plan de rationnalisation du charroi communal dans le but de réduire la flotte de véhicules</v>
      </c>
      <c r="I67" s="247" t="s">
        <v>2676</v>
      </c>
    </row>
    <row r="68" spans="1:9" ht="28.8" customHeight="1" x14ac:dyDescent="0.3">
      <c r="A68" s="461"/>
      <c r="B68" s="461"/>
      <c r="C68" s="461"/>
      <c r="D68" s="461"/>
      <c r="E68" s="461"/>
      <c r="F68" s="461"/>
      <c r="G68" s="245" t="s">
        <v>2613</v>
      </c>
      <c r="H68" s="247" t="s">
        <v>2614</v>
      </c>
      <c r="I68" s="169" t="s">
        <v>2677</v>
      </c>
    </row>
    <row r="69" spans="1:9" ht="28.8" customHeight="1" x14ac:dyDescent="0.3">
      <c r="A69" s="461"/>
      <c r="B69" s="461"/>
      <c r="C69" s="461"/>
      <c r="D69" s="461" t="s">
        <v>2662</v>
      </c>
      <c r="E69" s="461" t="str">
        <f>Admin_2024!E108</f>
        <v>Promouvoir la transition modale afin de diminuer l'impact des véhicules thermiques</v>
      </c>
      <c r="F69" s="461" t="s">
        <v>2667</v>
      </c>
      <c r="G69" s="245" t="s">
        <v>1031</v>
      </c>
      <c r="H69" s="247" t="str">
        <f>Admin_2030!G118</f>
        <v>Réaliser un challenge de mobilité active pour l'ensemble de l'administration</v>
      </c>
      <c r="I69" s="247" t="s">
        <v>2678</v>
      </c>
    </row>
    <row r="70" spans="1:9" ht="28.8" customHeight="1" x14ac:dyDescent="0.3">
      <c r="A70" s="461"/>
      <c r="B70" s="461"/>
      <c r="C70" s="461"/>
      <c r="D70" s="461"/>
      <c r="E70" s="461"/>
      <c r="F70" s="461"/>
      <c r="G70" s="245" t="s">
        <v>1032</v>
      </c>
      <c r="H70" s="247" t="str">
        <f>Admin_2030!G121</f>
        <v>Recourir à une distribution du courrier neutre en carbone: coursier vélo, label Bpost</v>
      </c>
      <c r="I70" s="247" t="s">
        <v>2687</v>
      </c>
    </row>
    <row r="71" spans="1:9" ht="68.25" customHeight="1" x14ac:dyDescent="0.3">
      <c r="A71" s="461"/>
      <c r="B71" s="461"/>
      <c r="C71" s="461"/>
      <c r="D71" s="461"/>
      <c r="E71" s="461"/>
      <c r="F71" s="461"/>
      <c r="G71" s="245" t="s">
        <v>1033</v>
      </c>
      <c r="H71" s="247" t="str">
        <f>Admin_2030!G123</f>
        <v>Installer des parking vélo sécurisés dans toutes les écoles (profs et élèves) et les bâtiments publics (vélos + trottinettes) avec une mutualisation des places disponibles pour les riverains suivant les possibilités techniques (avec gestion type Parking Brussels)</v>
      </c>
      <c r="I71" s="434" t="s">
        <v>2858</v>
      </c>
    </row>
    <row r="72" spans="1:9" ht="28.8" x14ac:dyDescent="0.3">
      <c r="A72" s="461"/>
      <c r="B72" s="461"/>
      <c r="C72" s="461"/>
      <c r="D72" s="461"/>
      <c r="E72" s="461"/>
      <c r="F72" s="461"/>
      <c r="G72" s="245" t="s">
        <v>1034</v>
      </c>
      <c r="H72" s="435" t="str">
        <f>Admin_2030!G125</f>
        <v>Encourager les rangs piétonier et les rues scolaires là où c’est possible (et les plans de déplacements scolaires si c'est pas une obligation) pour les écoles communales (écoles libres via action territoire)</v>
      </c>
      <c r="I72" s="435" t="s">
        <v>2679</v>
      </c>
    </row>
    <row r="73" spans="1:9" x14ac:dyDescent="0.3">
      <c r="A73" s="461"/>
      <c r="B73" s="461"/>
      <c r="C73" s="461"/>
      <c r="D73" s="461"/>
      <c r="E73" s="461"/>
      <c r="F73" s="461"/>
      <c r="G73" s="245" t="s">
        <v>1035</v>
      </c>
      <c r="H73" s="436" t="s">
        <v>1036</v>
      </c>
      <c r="I73" s="436" t="s">
        <v>2680</v>
      </c>
    </row>
    <row r="74" spans="1:9" x14ac:dyDescent="0.3">
      <c r="A74" s="461"/>
      <c r="B74" s="461"/>
      <c r="C74" s="461"/>
      <c r="D74" s="461"/>
      <c r="E74" s="461"/>
      <c r="F74" s="461"/>
      <c r="G74" s="245" t="s">
        <v>1037</v>
      </c>
      <c r="H74" s="436" t="s">
        <v>1038</v>
      </c>
      <c r="I74" s="436" t="s">
        <v>2684</v>
      </c>
    </row>
    <row r="75" spans="1:9" x14ac:dyDescent="0.3">
      <c r="A75" s="461"/>
      <c r="B75" s="461"/>
      <c r="C75" s="461"/>
      <c r="D75" s="461"/>
      <c r="E75" s="461"/>
      <c r="F75" s="461"/>
      <c r="G75" s="245" t="s">
        <v>1039</v>
      </c>
      <c r="H75" s="436" t="s">
        <v>1040</v>
      </c>
      <c r="I75" s="436" t="s">
        <v>2685</v>
      </c>
    </row>
    <row r="76" spans="1:9" x14ac:dyDescent="0.3">
      <c r="A76" s="461"/>
      <c r="B76" s="461"/>
      <c r="C76" s="461"/>
      <c r="D76" s="461"/>
      <c r="E76" s="461"/>
      <c r="F76" s="461"/>
      <c r="G76" s="245" t="s">
        <v>2609</v>
      </c>
      <c r="H76" s="436" t="s">
        <v>2610</v>
      </c>
      <c r="I76" s="436" t="s">
        <v>2686</v>
      </c>
    </row>
    <row r="77" spans="1:9" ht="28.8" x14ac:dyDescent="0.3">
      <c r="A77" s="461"/>
      <c r="B77" s="461"/>
      <c r="C77" s="461"/>
      <c r="D77" s="461"/>
      <c r="E77" s="461"/>
      <c r="F77" s="461"/>
      <c r="G77" s="245" t="s">
        <v>1041</v>
      </c>
      <c r="H77" s="247" t="str">
        <f>Admin_2030!G128</f>
        <v xml:space="preserve">Augmenter la part des déplacements professionnels du personnel communal en vélo et en vélo cargo / triporteurs et faire l’acquisition de matériel en ce sens </v>
      </c>
      <c r="I77" s="247" t="s">
        <v>2724</v>
      </c>
    </row>
    <row r="78" spans="1:9" x14ac:dyDescent="0.3">
      <c r="A78" s="461"/>
      <c r="B78" s="461"/>
      <c r="C78" s="461"/>
      <c r="D78" s="461"/>
      <c r="E78" s="461"/>
      <c r="F78" s="461"/>
      <c r="G78" s="245" t="s">
        <v>1042</v>
      </c>
      <c r="H78" s="247" t="str">
        <f>Admin_2030!G130</f>
        <v xml:space="preserve">Mettre à disposition des vélos électriques pour les enseignants/ Villo electriques pour les enseignants/crèches. </v>
      </c>
      <c r="I78" s="247" t="s">
        <v>2683</v>
      </c>
    </row>
    <row r="79" spans="1:9" ht="28.8" x14ac:dyDescent="0.3">
      <c r="A79" s="461"/>
      <c r="B79" s="461"/>
      <c r="C79" s="461"/>
      <c r="D79" s="461"/>
      <c r="E79" s="461"/>
      <c r="F79" s="461"/>
      <c r="G79" s="245" t="s">
        <v>1043</v>
      </c>
      <c r="H79" s="435" t="str">
        <f>Admin_2030!G131</f>
        <v>Stimuler la transition vers un autre mode de transport que la voiture pour les déplacements domicile-travail. (campagne, prime vélo, … )</v>
      </c>
      <c r="I79" s="437" t="s">
        <v>2682</v>
      </c>
    </row>
    <row r="80" spans="1:9" x14ac:dyDescent="0.3">
      <c r="A80" s="461"/>
      <c r="B80" s="461"/>
      <c r="C80" s="461"/>
      <c r="D80" s="461"/>
      <c r="E80" s="461"/>
      <c r="F80" s="461"/>
      <c r="G80" s="245" t="s">
        <v>1044</v>
      </c>
      <c r="H80" s="247" t="s">
        <v>2615</v>
      </c>
      <c r="I80" s="247" t="s">
        <v>2681</v>
      </c>
    </row>
    <row r="81" spans="1:9" s="430" customFormat="1" ht="6" customHeight="1" x14ac:dyDescent="0.3">
      <c r="A81" s="431" t="s">
        <v>1020</v>
      </c>
      <c r="B81" s="428"/>
      <c r="C81" s="428"/>
      <c r="D81" s="428"/>
      <c r="E81" s="428"/>
      <c r="F81" s="428"/>
      <c r="G81" s="428"/>
      <c r="H81" s="429"/>
      <c r="I81" s="429"/>
    </row>
    <row r="82" spans="1:9" ht="43.35" customHeight="1" x14ac:dyDescent="0.3">
      <c r="A82" s="461" t="str">
        <f>Admin_2024!B23</f>
        <v>Alimentation durable / Duurzame voeding</v>
      </c>
      <c r="B82" s="461" t="s">
        <v>2726</v>
      </c>
      <c r="C82" s="461" t="str">
        <f>Admin_2024!D23</f>
        <v>OS 3 Promouvoir l'alimentation durable au sein de l'administration communale 
SD 3 Duurzame voeding promoten binnen het gemeentebestuur</v>
      </c>
      <c r="D82" s="461" t="s">
        <v>2762</v>
      </c>
      <c r="E82" s="461" t="str">
        <f>Admin_2024!E30</f>
        <v>Promouvoir la consommation de produits végétaux et diminuer la viande/produit animaux</v>
      </c>
      <c r="F82" s="461" t="s">
        <v>2727</v>
      </c>
      <c r="G82" s="245" t="s">
        <v>1045</v>
      </c>
      <c r="H82" s="435" t="str">
        <f>Admin_2030!G30</f>
        <v>Sensibiliser le personnel à l’alimentation durable (biologique, locale, zéro déchet, ...) et encourager la réduction de consommation viande et la consommer une viande durable et locale via des ateliers, communication, formation…</v>
      </c>
      <c r="I82" s="437" t="s">
        <v>2732</v>
      </c>
    </row>
    <row r="83" spans="1:9" ht="28.8" x14ac:dyDescent="0.3">
      <c r="A83" s="461"/>
      <c r="B83" s="461"/>
      <c r="C83" s="461"/>
      <c r="D83" s="461"/>
      <c r="E83" s="461"/>
      <c r="F83" s="461"/>
      <c r="G83" s="245" t="s">
        <v>1046</v>
      </c>
      <c r="H83" s="247" t="str">
        <f>Admin_2030!G31</f>
        <v xml:space="preserve">Augmenter les repas végétariens dans les cantines scolaires et les crèches et envisager de proposer un menu végétarien au choix supplémentaire </v>
      </c>
      <c r="I83" s="247" t="s">
        <v>2733</v>
      </c>
    </row>
    <row r="84" spans="1:9" ht="28.8" x14ac:dyDescent="0.3">
      <c r="A84" s="461"/>
      <c r="B84" s="461"/>
      <c r="C84" s="461"/>
      <c r="D84" s="461"/>
      <c r="E84" s="461"/>
      <c r="F84" s="461"/>
      <c r="G84" s="245" t="s">
        <v>1047</v>
      </c>
      <c r="H84" s="247" t="str">
        <f>Admin_2030!G32</f>
        <v xml:space="preserve">Offrir majoritairement de la nourriture végétarienne au sein de l'administration communales et les évènements communaux. </v>
      </c>
      <c r="I84" s="247" t="s">
        <v>2734</v>
      </c>
    </row>
    <row r="85" spans="1:9" x14ac:dyDescent="0.3">
      <c r="A85" s="461"/>
      <c r="B85" s="461"/>
      <c r="C85" s="461"/>
      <c r="D85" s="461" t="s">
        <v>2763</v>
      </c>
      <c r="E85" s="461" t="str">
        <f>Admin_2024!E23</f>
        <v>Consommer local et de saison</v>
      </c>
      <c r="F85" s="461" t="s">
        <v>2728</v>
      </c>
      <c r="G85" s="245" t="s">
        <v>1048</v>
      </c>
      <c r="H85" s="248" t="str">
        <f>Admin_2030!G23</f>
        <v xml:space="preserve">Favoriser le circuit-court et de saison pour des évènement communaux. </v>
      </c>
      <c r="I85" s="247" t="s">
        <v>2735</v>
      </c>
    </row>
    <row r="86" spans="1:9" ht="28.8" x14ac:dyDescent="0.3">
      <c r="A86" s="461"/>
      <c r="B86" s="461"/>
      <c r="C86" s="461"/>
      <c r="D86" s="461"/>
      <c r="E86" s="461"/>
      <c r="F86" s="461"/>
      <c r="G86" s="245" t="s">
        <v>1049</v>
      </c>
      <c r="H86" s="247" t="str">
        <f>Admin_2030!G26</f>
        <v>Sensibiliser les jeunes à l’intérêt de consommer local et de saison via le developpement de potagers dans les écoles et l'organisation d'une semaine de l'alimentation durable (territoire)</v>
      </c>
      <c r="I86" s="247" t="s">
        <v>2736</v>
      </c>
    </row>
    <row r="87" spans="1:9" x14ac:dyDescent="0.3">
      <c r="A87" s="461"/>
      <c r="B87" s="461"/>
      <c r="C87" s="461"/>
      <c r="D87" s="461"/>
      <c r="E87" s="461"/>
      <c r="F87" s="461"/>
      <c r="G87" s="245" t="s">
        <v>1050</v>
      </c>
      <c r="H87" s="247" t="str">
        <f>Admin_2030!G27</f>
        <v>Proposer des recettes de saison hebdomadaires sur l'intranet</v>
      </c>
      <c r="I87" s="247" t="s">
        <v>2737</v>
      </c>
    </row>
    <row r="88" spans="1:9" x14ac:dyDescent="0.3">
      <c r="A88" s="461"/>
      <c r="B88" s="461"/>
      <c r="C88" s="461"/>
      <c r="D88" s="461"/>
      <c r="E88" s="461"/>
      <c r="F88" s="461"/>
      <c r="G88" s="245" t="s">
        <v>1051</v>
      </c>
      <c r="H88" s="247" t="str">
        <f>Admin_2030!G28</f>
        <v>Proposer des produits locaux et de saison dans les écoles et les crèches</v>
      </c>
      <c r="I88" s="247" t="s">
        <v>2738</v>
      </c>
    </row>
    <row r="89" spans="1:9" x14ac:dyDescent="0.3">
      <c r="A89" s="461"/>
      <c r="B89" s="461"/>
      <c r="C89" s="461"/>
      <c r="D89" s="461"/>
      <c r="E89" s="461"/>
      <c r="F89" s="461"/>
      <c r="G89" s="245" t="s">
        <v>1052</v>
      </c>
      <c r="H89" s="247" t="str">
        <f>Admin_2030!G29</f>
        <v>Créer un catalogue "catering durable" pour les événements  avec une liste de producteurs locaux</v>
      </c>
      <c r="I89" s="247" t="s">
        <v>2739</v>
      </c>
    </row>
    <row r="90" spans="1:9" x14ac:dyDescent="0.3">
      <c r="A90" s="577"/>
      <c r="B90" s="577"/>
      <c r="C90" s="577"/>
      <c r="D90" s="461" t="s">
        <v>2764</v>
      </c>
      <c r="E90" s="461" t="str">
        <f>Admin_2024!E33</f>
        <v>Promouvoir l'alimentaiton durable de manière générale</v>
      </c>
      <c r="F90" s="461" t="s">
        <v>2729</v>
      </c>
      <c r="G90" s="245" t="s">
        <v>1053</v>
      </c>
      <c r="H90" s="434" t="str">
        <f>Admin_2030!G34</f>
        <v>Collaborer avec les cuisines bruxelloises pour qu'elles obtiennent le label Good Food Cantines</v>
      </c>
      <c r="I90" s="434" t="s">
        <v>2740</v>
      </c>
    </row>
    <row r="91" spans="1:9" x14ac:dyDescent="0.3">
      <c r="A91" s="461"/>
      <c r="B91" s="461"/>
      <c r="C91" s="461"/>
      <c r="D91" s="461"/>
      <c r="E91" s="461"/>
      <c r="F91" s="461"/>
      <c r="G91" s="245" t="s">
        <v>1054</v>
      </c>
      <c r="H91" s="247" t="str">
        <f>Admin_2030!G35</f>
        <v>Recourir à des foodtrucks électriques de repas sains pour les événements</v>
      </c>
      <c r="I91" s="247" t="s">
        <v>2741</v>
      </c>
    </row>
    <row r="92" spans="1:9" ht="28.35" customHeight="1" x14ac:dyDescent="0.3">
      <c r="A92" s="461"/>
      <c r="B92" s="461"/>
      <c r="C92" s="461"/>
      <c r="D92" s="461" t="s">
        <v>2765</v>
      </c>
      <c r="E92" s="461" t="str">
        <f>Admin_2024!E36</f>
        <v>Promouvoir les produits biologiques</v>
      </c>
      <c r="F92" s="461" t="s">
        <v>2730</v>
      </c>
      <c r="G92" s="245" t="s">
        <v>1055</v>
      </c>
      <c r="H92" s="247" t="str">
        <f>Admin_2030!G36</f>
        <v>Proposer des produits biologiques dans les écoles et les crèches</v>
      </c>
      <c r="I92" s="247" t="s">
        <v>2742</v>
      </c>
    </row>
    <row r="93" spans="1:9" x14ac:dyDescent="0.3">
      <c r="A93" s="461"/>
      <c r="B93" s="461"/>
      <c r="C93" s="461"/>
      <c r="D93" s="461"/>
      <c r="E93" s="461"/>
      <c r="F93" s="461"/>
      <c r="G93" s="245" t="s">
        <v>1056</v>
      </c>
      <c r="H93" s="247" t="str">
        <f>Admin_2030!G37</f>
        <v>Recourir à des commerces locaux BIO pour les évenements communaux (pas Colruyt uniquement)</v>
      </c>
      <c r="I93" s="247" t="s">
        <v>2743</v>
      </c>
    </row>
    <row r="94" spans="1:9" ht="28.8" x14ac:dyDescent="0.3">
      <c r="A94" s="461"/>
      <c r="B94" s="461"/>
      <c r="C94" s="461"/>
      <c r="D94" s="245" t="s">
        <v>2766</v>
      </c>
      <c r="E94" s="245" t="str">
        <f>Admin_2024!E38</f>
        <v>Réduire le gaspillage alimentaire</v>
      </c>
      <c r="F94" s="245" t="s">
        <v>2731</v>
      </c>
      <c r="G94" s="245" t="s">
        <v>1057</v>
      </c>
      <c r="H94" s="247" t="str">
        <f>Admin_2030!G38</f>
        <v>Valoriser les invendus lors des événements communaux ( magasins solidaires, restaurants sociaux, doggy bag, distribution grand public via réseaux sociaux...)</v>
      </c>
      <c r="I94" s="247" t="s">
        <v>2744</v>
      </c>
    </row>
    <row r="95" spans="1:9" s="430" customFormat="1" ht="6" customHeight="1" x14ac:dyDescent="0.3">
      <c r="A95" s="431" t="s">
        <v>1020</v>
      </c>
      <c r="B95" s="428"/>
      <c r="C95" s="428"/>
      <c r="D95" s="428"/>
      <c r="E95" s="428"/>
      <c r="F95" s="428"/>
      <c r="G95" s="428"/>
      <c r="H95" s="429"/>
      <c r="I95" s="429"/>
    </row>
    <row r="96" spans="1:9" ht="29.1" customHeight="1" x14ac:dyDescent="0.3">
      <c r="A96" s="461" t="str">
        <f>Admin_2024!B2</f>
        <v>Achats durables / Duurzame aankopen</v>
      </c>
      <c r="B96" s="461" t="s">
        <v>2745</v>
      </c>
      <c r="C96" s="461" t="str">
        <f>Admin_2024!D2</f>
        <v xml:space="preserve">OS 4 Intégrer les principes du Green Public Procurement pour diminuer les émissions des achats en tenant compte de leur cycle de vie
SD 4 De principes van Green Public Procurement integreren om de uitstoot van aankopen te verminderen rekening houdend met hun levenscyclus </v>
      </c>
      <c r="D96" s="461" t="s">
        <v>2767</v>
      </c>
      <c r="E96" s="461" t="str">
        <f>Admin_2024!E8</f>
        <v>Stimuler le partage et mutualisation des produit/outils "economie de partage"</v>
      </c>
      <c r="F96" s="461" t="s">
        <v>2746</v>
      </c>
      <c r="G96" s="245" t="s">
        <v>1058</v>
      </c>
      <c r="H96" s="247" t="str">
        <f>Admin_2030!G8</f>
        <v xml:space="preserve">Réduire les appareils individuels en faveur d'outils collectifs (imprimantes, machines à café…) - après leur fin de vie. </v>
      </c>
      <c r="I96" s="247" t="s">
        <v>2751</v>
      </c>
    </row>
    <row r="97" spans="1:9" x14ac:dyDescent="0.3">
      <c r="A97" s="461"/>
      <c r="B97" s="461"/>
      <c r="C97" s="461"/>
      <c r="D97" s="461"/>
      <c r="E97" s="461"/>
      <c r="F97" s="461"/>
      <c r="G97" s="245" t="s">
        <v>1059</v>
      </c>
      <c r="H97" s="435" t="str">
        <f>Admin_2030!G9</f>
        <v>Favoriser l'économie du partage</v>
      </c>
      <c r="I97" s="453" t="s">
        <v>2860</v>
      </c>
    </row>
    <row r="98" spans="1:9" x14ac:dyDescent="0.3">
      <c r="A98" s="461"/>
      <c r="B98" s="461"/>
      <c r="C98" s="461"/>
      <c r="D98" s="461"/>
      <c r="E98" s="461"/>
      <c r="F98" s="461"/>
      <c r="G98" s="245" t="s">
        <v>1060</v>
      </c>
      <c r="H98" s="247" t="str">
        <f>Admin_2030!G10</f>
        <v>Acheter/Louer des machines en commun avec d'autres administrations</v>
      </c>
      <c r="I98" s="247" t="s">
        <v>2752</v>
      </c>
    </row>
    <row r="99" spans="1:9" x14ac:dyDescent="0.3">
      <c r="A99" s="461"/>
      <c r="B99" s="461"/>
      <c r="C99" s="461"/>
      <c r="D99" s="461"/>
      <c r="E99" s="461"/>
      <c r="F99" s="461"/>
      <c r="G99" s="245" t="s">
        <v>1061</v>
      </c>
      <c r="H99" s="247" t="str">
        <f>Admin_2030!G11</f>
        <v>Libérer un epace de stockage pour mettre en commun des machines, du matériel et des matériaux de chantier</v>
      </c>
      <c r="I99" s="247" t="s">
        <v>2753</v>
      </c>
    </row>
    <row r="100" spans="1:9" ht="42.6" customHeight="1" x14ac:dyDescent="0.3">
      <c r="A100" s="461"/>
      <c r="B100" s="461"/>
      <c r="C100" s="461"/>
      <c r="D100" s="461"/>
      <c r="E100" s="461"/>
      <c r="F100" s="461"/>
      <c r="G100" s="245" t="s">
        <v>1062</v>
      </c>
      <c r="H100" s="247" t="str">
        <f>Admin_2030!G12</f>
        <v xml:space="preserve">Passer aux datacenters régionaux ou hybrides </v>
      </c>
      <c r="I100" s="247" t="s">
        <v>2754</v>
      </c>
    </row>
    <row r="101" spans="1:9" ht="86.4" customHeight="1" x14ac:dyDescent="0.3">
      <c r="A101" s="461"/>
      <c r="B101" s="461"/>
      <c r="C101" s="461"/>
      <c r="D101" s="245" t="s">
        <v>2768</v>
      </c>
      <c r="E101" s="245" t="str">
        <f>Admin_2024!E2</f>
        <v>Améliorer la connaissance et faire un monitoring des produit et achats (durables)</v>
      </c>
      <c r="F101" s="245" t="s">
        <v>2747</v>
      </c>
      <c r="G101" s="245" t="s">
        <v>1063</v>
      </c>
      <c r="H101" s="247" t="str">
        <f>Admin_2030!G2</f>
        <v>Faire un inventaire annuel dans les services (éviter les stocks inutiles, matériel pertinent...)</v>
      </c>
      <c r="I101" s="247" t="s">
        <v>2755</v>
      </c>
    </row>
    <row r="102" spans="1:9" ht="28.8" x14ac:dyDescent="0.3">
      <c r="A102" s="461"/>
      <c r="B102" s="461"/>
      <c r="C102" s="461"/>
      <c r="D102" s="461" t="s">
        <v>2769</v>
      </c>
      <c r="E102" s="461" t="str">
        <f>Admin_2024!E3</f>
        <v>Développer une stratégie claire pour des achats durables en tenant compte du réemploi</v>
      </c>
      <c r="F102" s="461" t="s">
        <v>2748</v>
      </c>
      <c r="G102" s="245" t="s">
        <v>1064</v>
      </c>
      <c r="H102" s="247" t="str">
        <f>Admin_2030!G3</f>
        <v>Créer une stratégie des marchés/achats à durabiliser en priorité (Insérer des critères écologiques, sociaux, éthiques et durables)</v>
      </c>
      <c r="I102" s="247" t="s">
        <v>2756</v>
      </c>
    </row>
    <row r="103" spans="1:9" ht="28.8" x14ac:dyDescent="0.3">
      <c r="A103" s="461"/>
      <c r="B103" s="461"/>
      <c r="C103" s="461"/>
      <c r="D103" s="461"/>
      <c r="E103" s="461"/>
      <c r="F103" s="461"/>
      <c r="G103" s="245" t="s">
        <v>1065</v>
      </c>
      <c r="H103" s="434" t="str">
        <f>Admin_2030!G4</f>
        <v>Identifier les possibilités d'acquisition de nouveaux objets dans d'autres matériaux que le plastique (clause marché public)</v>
      </c>
      <c r="I103" s="434" t="s">
        <v>2757</v>
      </c>
    </row>
    <row r="104" spans="1:9" x14ac:dyDescent="0.3">
      <c r="A104" s="461"/>
      <c r="B104" s="461"/>
      <c r="C104" s="461"/>
      <c r="D104" s="461"/>
      <c r="E104" s="461"/>
      <c r="F104" s="461"/>
      <c r="G104" s="245" t="s">
        <v>1066</v>
      </c>
      <c r="H104" s="247" t="str">
        <f>Admin_2030!G5</f>
        <v>Acheter du matériel IT durable, en collaboration avec Paradigm (e.g. TCO label)</v>
      </c>
      <c r="I104" s="434" t="s">
        <v>2862</v>
      </c>
    </row>
    <row r="105" spans="1:9" x14ac:dyDescent="0.3">
      <c r="A105" s="461"/>
      <c r="B105" s="461"/>
      <c r="C105" s="461"/>
      <c r="D105" s="461"/>
      <c r="E105" s="461"/>
      <c r="F105" s="461"/>
      <c r="G105" s="245" t="s">
        <v>2597</v>
      </c>
      <c r="H105" s="247" t="s">
        <v>2601</v>
      </c>
      <c r="I105" s="247" t="s">
        <v>2758</v>
      </c>
    </row>
    <row r="106" spans="1:9" x14ac:dyDescent="0.3">
      <c r="A106" s="461"/>
      <c r="B106" s="461"/>
      <c r="C106" s="461"/>
      <c r="D106" s="461"/>
      <c r="E106" s="461"/>
      <c r="F106" s="461"/>
      <c r="G106" s="245" t="s">
        <v>2600</v>
      </c>
      <c r="H106" s="247" t="s">
        <v>2598</v>
      </c>
      <c r="I106" s="169" t="s">
        <v>2759</v>
      </c>
    </row>
    <row r="107" spans="1:9" ht="57.6" x14ac:dyDescent="0.3">
      <c r="A107" s="461"/>
      <c r="B107" s="461"/>
      <c r="C107" s="461"/>
      <c r="D107" s="244" t="s">
        <v>2770</v>
      </c>
      <c r="E107" s="244" t="str">
        <f>Admin_2024!E7</f>
        <v>Sensibiliser et changer les comportements lié aux achats durables</v>
      </c>
      <c r="F107" s="244" t="s">
        <v>2749</v>
      </c>
      <c r="G107" s="244" t="s">
        <v>1067</v>
      </c>
      <c r="H107" s="247" t="str">
        <f>Admin_2030!G7</f>
        <v>Sensibiliser le personnel aux achats durables (trucs et astuces…)</v>
      </c>
      <c r="I107" s="247" t="s">
        <v>2760</v>
      </c>
    </row>
    <row r="108" spans="1:9" ht="28.8" x14ac:dyDescent="0.3">
      <c r="A108" s="461"/>
      <c r="B108" s="461"/>
      <c r="C108" s="461"/>
      <c r="D108" s="244" t="s">
        <v>2771</v>
      </c>
      <c r="E108" s="244" t="str">
        <f>Admin_2024!E6</f>
        <v>Réduire l'emballage des produits</v>
      </c>
      <c r="F108" s="244" t="s">
        <v>2750</v>
      </c>
      <c r="G108" s="244" t="s">
        <v>1068</v>
      </c>
      <c r="H108" s="247" t="str">
        <f>Admin_2030!G6</f>
        <v>Réduire les déchets sur de grosses commandes (éviter le suremballage)</v>
      </c>
      <c r="I108" s="247" t="s">
        <v>2761</v>
      </c>
    </row>
    <row r="109" spans="1:9" s="430" customFormat="1" ht="6" customHeight="1" x14ac:dyDescent="0.3">
      <c r="A109" s="431" t="s">
        <v>1020</v>
      </c>
      <c r="B109" s="428"/>
      <c r="C109" s="428"/>
      <c r="D109" s="428"/>
      <c r="E109" s="428"/>
      <c r="F109" s="428"/>
      <c r="G109" s="428"/>
      <c r="H109" s="429"/>
      <c r="I109" s="429"/>
    </row>
    <row r="110" spans="1:9" ht="60" customHeight="1" x14ac:dyDescent="0.3">
      <c r="A110" s="461" t="str">
        <f>Admin_2024!B65</f>
        <v>Déchets / Afval</v>
      </c>
      <c r="B110" s="461" t="s">
        <v>2875</v>
      </c>
      <c r="C110" s="461" t="str">
        <f>Admin_2024!D65</f>
        <v>OS 5 - PST 1.6.2. Faire vivre la démarche Zéro déchet au sein de l'administration 
SD 5-PST 1.6.2. Zero waste binnen het gemeentebestuur promoten</v>
      </c>
      <c r="D110" s="245" t="s">
        <v>2772</v>
      </c>
      <c r="E110" s="245" t="str">
        <f>Admin_2024!E66</f>
        <v>Intégrer l'écoconception des produits dans la politique d'achat</v>
      </c>
      <c r="F110" s="454" t="s">
        <v>2864</v>
      </c>
      <c r="G110" s="245" t="s">
        <v>1069</v>
      </c>
      <c r="H110" s="247" t="str">
        <f>Admin_2030!G70</f>
        <v>Acheter du mobilier facilement réparable (mobilier éco-conçu)</v>
      </c>
      <c r="I110" s="247" t="s">
        <v>2779</v>
      </c>
    </row>
    <row r="111" spans="1:9" x14ac:dyDescent="0.3">
      <c r="A111" s="461"/>
      <c r="B111" s="461"/>
      <c r="C111" s="461"/>
      <c r="D111" s="461" t="s">
        <v>2773</v>
      </c>
      <c r="E111" s="461" t="str">
        <f>Admin_2024!E67</f>
        <v>Réutiliser des matériaux pour éviter des déchets et s'inscrire dans une économie circulaire, tendre vers zero déchets</v>
      </c>
      <c r="F111" s="461" t="s">
        <v>2776</v>
      </c>
      <c r="G111" s="245" t="s">
        <v>1070</v>
      </c>
      <c r="H111" s="247" t="str">
        <f>Admin_2030!G71</f>
        <v>Réutiliser les grandes affiches pour en faire des emballages cadeaux (ex: Noel)</v>
      </c>
      <c r="I111" s="247" t="s">
        <v>2780</v>
      </c>
    </row>
    <row r="112" spans="1:9" x14ac:dyDescent="0.3">
      <c r="A112" s="461"/>
      <c r="B112" s="461"/>
      <c r="C112" s="461"/>
      <c r="D112" s="461"/>
      <c r="E112" s="461"/>
      <c r="F112" s="461"/>
      <c r="G112" s="245" t="s">
        <v>1071</v>
      </c>
      <c r="H112" s="247" t="str">
        <f>Admin_2030!G72</f>
        <v xml:space="preserve">Créer un listing du matériel pour organiser des events zéro déchet </v>
      </c>
      <c r="I112" s="247" t="s">
        <v>2781</v>
      </c>
    </row>
    <row r="113" spans="1:9" x14ac:dyDescent="0.3">
      <c r="A113" s="461"/>
      <c r="B113" s="461"/>
      <c r="C113" s="461"/>
      <c r="D113" s="461"/>
      <c r="E113" s="461"/>
      <c r="F113" s="461"/>
      <c r="G113" s="245" t="s">
        <v>1072</v>
      </c>
      <c r="H113" s="247" t="str">
        <f>Admin_2030!G73</f>
        <v xml:space="preserve">Digitaliser les processus et manière de travailler pour diminuer la consommation de papier </v>
      </c>
      <c r="I113" s="247" t="s">
        <v>2782</v>
      </c>
    </row>
    <row r="114" spans="1:9" ht="28.8" x14ac:dyDescent="0.3">
      <c r="A114" s="461"/>
      <c r="B114" s="461"/>
      <c r="C114" s="461"/>
      <c r="D114" s="461"/>
      <c r="E114" s="461"/>
      <c r="F114" s="461"/>
      <c r="G114" s="245" t="s">
        <v>1073</v>
      </c>
      <c r="H114" s="247" t="str">
        <f>Admin_2030!G74</f>
        <v>Placer des bacs à papier brouillon dans les copy corners et le récupérer pour en faire des blocs notes (à mettre au magasin)</v>
      </c>
      <c r="I114" s="247" t="s">
        <v>2783</v>
      </c>
    </row>
    <row r="115" spans="1:9" ht="69.900000000000006" customHeight="1" x14ac:dyDescent="0.3">
      <c r="A115" s="461"/>
      <c r="B115" s="461"/>
      <c r="C115" s="461"/>
      <c r="D115" s="461"/>
      <c r="E115" s="461"/>
      <c r="F115" s="461"/>
      <c r="G115" s="245" t="s">
        <v>1074</v>
      </c>
      <c r="H115" s="437" t="str">
        <f>Admin_2030!G75</f>
        <v>Autoriser les couches réutilisables pour les parents qui le souhaitent (un modèle homologué) au sein des crèches communales</v>
      </c>
      <c r="I115" s="437" t="s">
        <v>2784</v>
      </c>
    </row>
    <row r="116" spans="1:9" ht="69.900000000000006" customHeight="1" x14ac:dyDescent="0.3">
      <c r="A116" s="461"/>
      <c r="B116" s="461"/>
      <c r="C116" s="461"/>
      <c r="D116" s="461"/>
      <c r="E116" s="461"/>
      <c r="F116" s="461"/>
      <c r="G116" s="245" t="s">
        <v>2624</v>
      </c>
      <c r="H116" s="440" t="s">
        <v>2625</v>
      </c>
      <c r="I116" s="440" t="s">
        <v>2865</v>
      </c>
    </row>
    <row r="117" spans="1:9" x14ac:dyDescent="0.3">
      <c r="A117" s="461"/>
      <c r="B117" s="461"/>
      <c r="C117" s="461"/>
      <c r="D117" s="461"/>
      <c r="E117" s="461"/>
      <c r="F117" s="461"/>
      <c r="G117" s="245" t="s">
        <v>1075</v>
      </c>
      <c r="H117" s="247" t="str">
        <f>Admin_2030!G76</f>
        <v>Mettre en place un système de don ou revente de vêtements au sein des crèches communales</v>
      </c>
      <c r="I117" s="247" t="s">
        <v>2785</v>
      </c>
    </row>
    <row r="118" spans="1:9" x14ac:dyDescent="0.3">
      <c r="A118" s="461"/>
      <c r="B118" s="461"/>
      <c r="C118" s="461"/>
      <c r="D118" s="461"/>
      <c r="E118" s="461"/>
      <c r="F118" s="461"/>
      <c r="G118" s="245" t="s">
        <v>1076</v>
      </c>
      <c r="H118" s="247" t="str">
        <f>Admin_2030!G77</f>
        <v>Mettre en place le tri des matières organiques dans les batiments communaux (compost ou bac orange)</v>
      </c>
      <c r="I118" s="247" t="s">
        <v>2786</v>
      </c>
    </row>
    <row r="119" spans="1:9" x14ac:dyDescent="0.3">
      <c r="A119" s="461"/>
      <c r="B119" s="461"/>
      <c r="C119" s="461"/>
      <c r="D119" s="461"/>
      <c r="E119" s="461"/>
      <c r="F119" s="461"/>
      <c r="G119" s="245" t="s">
        <v>1077</v>
      </c>
      <c r="H119" s="433" t="str">
        <f>Admin_2030!G78</f>
        <v>PST 8.5.1. Mettre en place une ressourcerie et améliorer le recyclage grâce au nouveau Recypark à Jette </v>
      </c>
      <c r="I119" s="433" t="s">
        <v>2787</v>
      </c>
    </row>
    <row r="120" spans="1:9" x14ac:dyDescent="0.3">
      <c r="A120" s="461"/>
      <c r="B120" s="461"/>
      <c r="C120" s="461"/>
      <c r="D120" s="461"/>
      <c r="E120" s="461"/>
      <c r="F120" s="461"/>
      <c r="G120" s="245" t="s">
        <v>1078</v>
      </c>
      <c r="H120" s="247" t="str">
        <f>Admin_2030!G79</f>
        <v>Faciliter le recyclage grâce au nouveau Recyparc à Jette</v>
      </c>
      <c r="I120" s="247" t="s">
        <v>2788</v>
      </c>
    </row>
    <row r="121" spans="1:9" ht="28.8" x14ac:dyDescent="0.3">
      <c r="A121" s="461"/>
      <c r="B121" s="461"/>
      <c r="C121" s="461"/>
      <c r="D121" s="461"/>
      <c r="E121" s="461"/>
      <c r="F121" s="461"/>
      <c r="G121" s="245" t="s">
        <v>1079</v>
      </c>
      <c r="H121" s="435" t="str">
        <f>Admin_2030!G80</f>
        <v>Tendre vers un fonctionnement zéro déchet de l’administration, en menant une réflexion sur les déchets produits en établissant une charte : tri, matériel, catering, etc. et en sensibilisant le personnel à la démarche Zéro déchet.</v>
      </c>
      <c r="I121" s="437" t="s">
        <v>2789</v>
      </c>
    </row>
    <row r="122" spans="1:9" ht="75.599999999999994" customHeight="1" x14ac:dyDescent="0.3">
      <c r="A122" s="461"/>
      <c r="B122" s="461"/>
      <c r="C122" s="461"/>
      <c r="D122" s="245" t="s">
        <v>2774</v>
      </c>
      <c r="E122" s="245" t="str">
        <f>Admin_2024!E65</f>
        <v>Améliorer la connaissance et le monitoring des déchets</v>
      </c>
      <c r="F122" s="245" t="s">
        <v>2868</v>
      </c>
      <c r="G122" s="245" t="s">
        <v>1080</v>
      </c>
      <c r="H122" s="247" t="str">
        <f>Admin_2030!G69</f>
        <v>Faire un inventaire des flux entrants et sortants et mettre à jour les contrats</v>
      </c>
      <c r="I122" s="247" t="s">
        <v>2790</v>
      </c>
    </row>
    <row r="123" spans="1:9" x14ac:dyDescent="0.3">
      <c r="A123" s="461"/>
      <c r="B123" s="461"/>
      <c r="C123" s="461"/>
      <c r="D123" s="461" t="s">
        <v>2775</v>
      </c>
      <c r="E123" s="461" t="str">
        <f>Admin_2024!E75</f>
        <v>Sensibiliser et changer les comportements lié à une économie circulaire et zero déchets</v>
      </c>
      <c r="F123" s="461" t="s">
        <v>2778</v>
      </c>
      <c r="G123" s="245" t="s">
        <v>1081</v>
      </c>
      <c r="H123" s="247" t="str">
        <f>Admin_2030!G81</f>
        <v>Sensibiliser à l'impression noir et blanc &amp; recto verso</v>
      </c>
      <c r="I123" s="247" t="s">
        <v>2791</v>
      </c>
    </row>
    <row r="124" spans="1:9" x14ac:dyDescent="0.3">
      <c r="A124" s="461"/>
      <c r="B124" s="461"/>
      <c r="C124" s="461"/>
      <c r="D124" s="461"/>
      <c r="E124" s="461"/>
      <c r="F124" s="461"/>
      <c r="G124" s="245" t="s">
        <v>1082</v>
      </c>
      <c r="H124" s="247" t="str">
        <f>Admin_2030!G82</f>
        <v>Sensibiliser la hiérarchie aux nouvelles démarches</v>
      </c>
      <c r="I124" s="247" t="s">
        <v>2792</v>
      </c>
    </row>
    <row r="125" spans="1:9" x14ac:dyDescent="0.3">
      <c r="A125" s="461"/>
      <c r="B125" s="461"/>
      <c r="C125" s="461"/>
      <c r="D125" s="461"/>
      <c r="E125" s="461"/>
      <c r="F125" s="461"/>
      <c r="G125" s="245" t="s">
        <v>1083</v>
      </c>
      <c r="H125" s="247" t="str">
        <f>Admin_2030!G83</f>
        <v>Réglementer l'utilisation d'emballages à usage unique dans les marchés</v>
      </c>
      <c r="I125" s="247" t="s">
        <v>2869</v>
      </c>
    </row>
    <row r="126" spans="1:9" ht="28.8" x14ac:dyDescent="0.3">
      <c r="A126" s="461"/>
      <c r="B126" s="461"/>
      <c r="C126" s="461"/>
      <c r="D126" s="461"/>
      <c r="E126" s="461"/>
      <c r="F126" s="461"/>
      <c r="G126" s="245" t="s">
        <v>1085</v>
      </c>
      <c r="H126" s="247" t="str">
        <f>Admin_2030!G84</f>
        <v>Sensibiliser le personnel aux lunchs zéro déchet (Achat groupé auprès de collègues fabricant des emballages réutilisables, ou autre)</v>
      </c>
      <c r="I126" s="247" t="s">
        <v>2793</v>
      </c>
    </row>
    <row r="127" spans="1:9" x14ac:dyDescent="0.3">
      <c r="A127" s="461"/>
      <c r="B127" s="461"/>
      <c r="C127" s="461"/>
      <c r="D127" s="461"/>
      <c r="E127" s="461"/>
      <c r="F127" s="461"/>
      <c r="G127" s="245" t="s">
        <v>1086</v>
      </c>
      <c r="H127" s="247" t="str">
        <f>Admin_2030!G85</f>
        <v>Mettre en place un "welcome pack" de développement durable pour les agents entrants</v>
      </c>
      <c r="I127" s="247" t="s">
        <v>2794</v>
      </c>
    </row>
    <row r="128" spans="1:9" x14ac:dyDescent="0.3">
      <c r="A128" s="461"/>
      <c r="B128" s="461"/>
      <c r="C128" s="461"/>
      <c r="D128" s="461"/>
      <c r="E128" s="461"/>
      <c r="F128" s="461"/>
      <c r="G128" s="245" t="s">
        <v>1087</v>
      </c>
      <c r="H128" s="247" t="str">
        <f>Admin_2030!G86</f>
        <v>Sensibiliser le personnel à l'utilisation de la donnerie jettoise</v>
      </c>
      <c r="I128" s="247" t="s">
        <v>2795</v>
      </c>
    </row>
    <row r="129" spans="1:9" x14ac:dyDescent="0.3">
      <c r="A129" s="461"/>
      <c r="B129" s="461"/>
      <c r="C129" s="461"/>
      <c r="D129" s="461"/>
      <c r="E129" s="461"/>
      <c r="F129" s="461"/>
      <c r="G129" s="245" t="s">
        <v>1088</v>
      </c>
      <c r="H129" s="247" t="str">
        <f>Admin_2030!G87</f>
        <v>Organiser des campagnes de sensibilisation à destination des habitants (territoire)</v>
      </c>
      <c r="I129" s="247" t="s">
        <v>2796</v>
      </c>
    </row>
    <row r="130" spans="1:9" x14ac:dyDescent="0.3">
      <c r="A130" s="461"/>
      <c r="B130" s="461"/>
      <c r="C130" s="461"/>
      <c r="D130" s="461"/>
      <c r="E130" s="461"/>
      <c r="F130" s="461"/>
      <c r="G130" s="245" t="s">
        <v>1089</v>
      </c>
      <c r="H130" s="247" t="str">
        <f>Admin_2030!G88</f>
        <v>Former les équipes de nettoyage au tri des déchets/zéro déchet dans les écoles</v>
      </c>
      <c r="I130" s="247" t="s">
        <v>2797</v>
      </c>
    </row>
    <row r="131" spans="1:9" ht="28.8" x14ac:dyDescent="0.3">
      <c r="A131" s="461"/>
      <c r="B131" s="461"/>
      <c r="C131" s="461"/>
      <c r="D131" s="461"/>
      <c r="E131" s="461"/>
      <c r="F131" s="461"/>
      <c r="G131" s="245" t="s">
        <v>1090</v>
      </c>
      <c r="H131" s="435" t="str">
        <f>Admin_2030!G89</f>
        <v xml:space="preserve">Mettre en place un programme obligatoire au sein des établissements scolaires en vue d'atteindre l'objectif d'école zéro déchet (sauf inévitables) </v>
      </c>
      <c r="I131" s="437" t="s">
        <v>2870</v>
      </c>
    </row>
    <row r="132" spans="1:9" s="430" customFormat="1" ht="6" customHeight="1" x14ac:dyDescent="0.3">
      <c r="A132" s="431" t="s">
        <v>1020</v>
      </c>
      <c r="B132" s="428"/>
      <c r="C132" s="428"/>
      <c r="D132" s="428"/>
      <c r="E132" s="428"/>
      <c r="F132" s="428"/>
      <c r="G132" s="428"/>
      <c r="H132" s="429"/>
      <c r="I132" s="429"/>
    </row>
    <row r="133" spans="1:9" ht="26.1" customHeight="1" x14ac:dyDescent="0.3">
      <c r="A133" s="461" t="str">
        <f>Admin_2024!B83</f>
        <v>Economie circulaire et durable / Duurzame en circulaire economie</v>
      </c>
      <c r="B133" s="461" t="s">
        <v>731</v>
      </c>
      <c r="C133" s="461" t="str">
        <f>Admin_2024!D83</f>
        <v>OS 6 Promouvoir l'économie circulaire et durable 
DS 6 Duurzame en circulaire economie promoten</v>
      </c>
      <c r="D133" s="461" t="s">
        <v>2798</v>
      </c>
      <c r="E133" s="461" t="str">
        <f>Admin_2024!E87</f>
        <v>Prolonger la durée de vie via la réutilisation et la réparation des matériaux et produits</v>
      </c>
      <c r="F133" s="461" t="s">
        <v>2803</v>
      </c>
      <c r="G133" s="245" t="s">
        <v>1091</v>
      </c>
      <c r="H133" s="247" t="str">
        <f>Admin_2030!G94</f>
        <v>Mettre en place une procédure pour éviter de jeter le matériel déclassé réutilisable (voir ressourcerie)</v>
      </c>
      <c r="I133" s="247" t="s">
        <v>2806</v>
      </c>
    </row>
    <row r="134" spans="1:9" ht="24" customHeight="1" x14ac:dyDescent="0.3">
      <c r="A134" s="461"/>
      <c r="B134" s="461"/>
      <c r="C134" s="461"/>
      <c r="D134" s="461"/>
      <c r="E134" s="461"/>
      <c r="F134" s="461"/>
      <c r="G134" s="245" t="s">
        <v>1092</v>
      </c>
      <c r="H134" s="247" t="str">
        <f>Admin_2030!G95</f>
        <v xml:space="preserve">Continuer à réparer les objets </v>
      </c>
      <c r="I134" s="247" t="s">
        <v>2807</v>
      </c>
    </row>
    <row r="135" spans="1:9" ht="26.4" customHeight="1" x14ac:dyDescent="0.3">
      <c r="A135" s="461"/>
      <c r="B135" s="461"/>
      <c r="C135" s="461"/>
      <c r="D135" s="461"/>
      <c r="E135" s="461"/>
      <c r="F135" s="461"/>
      <c r="G135" s="245" t="s">
        <v>1093</v>
      </c>
      <c r="H135" s="247" t="str">
        <f>Admin_2030!G96</f>
        <v>Réaliser des ateliers d'upcycling au sein de l'administration</v>
      </c>
      <c r="I135" s="247" t="s">
        <v>2808</v>
      </c>
    </row>
    <row r="136" spans="1:9" ht="79.349999999999994" customHeight="1" x14ac:dyDescent="0.3">
      <c r="A136" s="461"/>
      <c r="B136" s="461"/>
      <c r="C136" s="461"/>
      <c r="D136" s="245" t="s">
        <v>2799</v>
      </c>
      <c r="E136" s="245" t="str">
        <f>Admin_2024!E84</f>
        <v>Intégrer l'économie circulaire pour des constructions neuves et des rénovations</v>
      </c>
      <c r="F136" s="245" t="s">
        <v>2804</v>
      </c>
      <c r="G136" s="245" t="s">
        <v>1094</v>
      </c>
      <c r="H136" s="247" t="str">
        <f>Admin_2030!G91</f>
        <v>Intégrer l'économie circulaire dans le cahier des charges des constructions neuves et de rénovation (utilisation de l'outil Totem)</v>
      </c>
      <c r="I136" s="247" t="s">
        <v>2809</v>
      </c>
    </row>
    <row r="137" spans="1:9" ht="44.1" customHeight="1" x14ac:dyDescent="0.3">
      <c r="A137" s="461"/>
      <c r="B137" s="461"/>
      <c r="C137" s="461"/>
      <c r="D137" s="461" t="s">
        <v>2800</v>
      </c>
      <c r="E137" s="461" t="str">
        <f>Admin_2024!E85</f>
        <v>Favoriser les commerces de proximité, les produits locaux et durables</v>
      </c>
      <c r="F137" s="461" t="s">
        <v>2812</v>
      </c>
      <c r="G137" s="245" t="s">
        <v>1095</v>
      </c>
      <c r="H137" s="435" t="str">
        <f>Admin_2030!G92</f>
        <v xml:space="preserve">Mettre en valeur et soutenir les commerces de proximité (artisanal, circuit court) et durables (zéro déchet, de saison, bio, équitable…) </v>
      </c>
      <c r="I137" s="437" t="s">
        <v>2810</v>
      </c>
    </row>
    <row r="138" spans="1:9" ht="71.25" customHeight="1" x14ac:dyDescent="0.3">
      <c r="A138" s="461"/>
      <c r="B138" s="461"/>
      <c r="C138" s="461"/>
      <c r="D138" s="461"/>
      <c r="E138" s="461"/>
      <c r="F138" s="461"/>
      <c r="G138" s="245" t="s">
        <v>1096</v>
      </c>
      <c r="H138" s="434" t="str">
        <f>Admin_2030!G93</f>
        <v>Favoriser les achats en circuits courts/commerces de proximité</v>
      </c>
      <c r="I138" s="434" t="s">
        <v>2811</v>
      </c>
    </row>
    <row r="139" spans="1:9" ht="99" customHeight="1" x14ac:dyDescent="0.3">
      <c r="A139" s="461"/>
      <c r="B139" s="461"/>
      <c r="C139" s="461"/>
      <c r="D139" s="245" t="s">
        <v>2801</v>
      </c>
      <c r="E139" s="245" t="str">
        <f>Admin_2024!E83</f>
        <v>Améliorer la connaissance et réaliser un monitoring de l'economie circulaire et durable</v>
      </c>
      <c r="F139" s="454" t="s">
        <v>2872</v>
      </c>
      <c r="G139" s="245" t="s">
        <v>1097</v>
      </c>
      <c r="H139" s="247" t="str">
        <f>Admin_2030!G90</f>
        <v>Réaliser une enquête auprès du personnel pour identifier les comportements/habitudes négatives</v>
      </c>
      <c r="I139" s="247" t="s">
        <v>2813</v>
      </c>
    </row>
    <row r="140" spans="1:9" ht="39" customHeight="1" x14ac:dyDescent="0.3">
      <c r="A140" s="461"/>
      <c r="B140" s="461"/>
      <c r="C140" s="461"/>
      <c r="D140" s="461" t="s">
        <v>2802</v>
      </c>
      <c r="E140" s="461" t="str">
        <f>Admin_2024!E91</f>
        <v>Sensibiliser et changer les comportements lié à l'économie circulaire et durable</v>
      </c>
      <c r="F140" s="461" t="s">
        <v>2805</v>
      </c>
      <c r="G140" s="245" t="s">
        <v>1098</v>
      </c>
      <c r="H140" s="435" t="str">
        <f>Admin_2030!G99</f>
        <v>Réaliser une campagne de sensibilisation sur l'économie circulaire</v>
      </c>
      <c r="I140" s="437" t="s">
        <v>2814</v>
      </c>
    </row>
    <row r="141" spans="1:9" ht="44.4" customHeight="1" x14ac:dyDescent="0.3">
      <c r="A141" s="461"/>
      <c r="B141" s="461"/>
      <c r="C141" s="461"/>
      <c r="D141" s="461"/>
      <c r="E141" s="461"/>
      <c r="F141" s="461"/>
      <c r="G141" s="245" t="s">
        <v>1099</v>
      </c>
      <c r="H141" s="247" t="str">
        <f>Admin_2030!G100</f>
        <v>Valoriser et améliorer la visibilité des petites annonces de l'Intranet</v>
      </c>
      <c r="I141" s="247" t="s">
        <v>2815</v>
      </c>
    </row>
    <row r="142" spans="1:9" s="430" customFormat="1" ht="6" customHeight="1" x14ac:dyDescent="0.3">
      <c r="A142" s="431" t="s">
        <v>1020</v>
      </c>
      <c r="B142" s="428"/>
      <c r="C142" s="428"/>
      <c r="D142" s="428"/>
      <c r="E142" s="428"/>
      <c r="F142" s="428"/>
      <c r="G142" s="428"/>
      <c r="H142" s="429"/>
      <c r="I142" s="429"/>
    </row>
    <row r="143" spans="1:9" ht="14.4" customHeight="1" x14ac:dyDescent="0.3">
      <c r="A143" s="461" t="str">
        <f>Admin_2024!B93</f>
        <v>Espaces verts/ biodiversité / Groene ruimte/biodiversiteit</v>
      </c>
      <c r="B143" s="462" t="s">
        <v>731</v>
      </c>
      <c r="C143" s="461" t="str">
        <f>Admin_2024!D93</f>
        <v>OS 7 Faire évoluer la biodiversité dans la nouvelle donne climatique 
SD 7 Biodiversiteit doen evolueren in functie van klimaatverandering</v>
      </c>
      <c r="D143" s="461" t="s">
        <v>2816</v>
      </c>
      <c r="E143" s="461" t="str">
        <f>Admin_2024!E93</f>
        <v>Augmenter la surface verte</v>
      </c>
      <c r="F143" s="461" t="s">
        <v>2820</v>
      </c>
      <c r="G143" s="245" t="s">
        <v>1100</v>
      </c>
      <c r="H143" s="247" t="str">
        <f>Admin_2030!G101</f>
        <v>Finaliser le projet de toiture jardin rue Léon Theodor 108</v>
      </c>
      <c r="I143" s="247" t="s">
        <v>2824</v>
      </c>
    </row>
    <row r="144" spans="1:9" x14ac:dyDescent="0.3">
      <c r="A144" s="461"/>
      <c r="B144" s="462"/>
      <c r="C144" s="461"/>
      <c r="D144" s="461"/>
      <c r="E144" s="461"/>
      <c r="F144" s="461"/>
      <c r="G144" s="245" t="s">
        <v>1101</v>
      </c>
      <c r="H144" s="435" t="str">
        <f>Admin_2030!G102</f>
        <v>Insérer des zones nature dans les projets de réaménagement des écoles</v>
      </c>
      <c r="I144" s="435" t="s">
        <v>2825</v>
      </c>
    </row>
    <row r="145" spans="1:9" x14ac:dyDescent="0.3">
      <c r="A145" s="461"/>
      <c r="B145" s="462"/>
      <c r="C145" s="461"/>
      <c r="D145" s="461"/>
      <c r="E145" s="461"/>
      <c r="F145" s="461"/>
      <c r="G145" s="245" t="s">
        <v>1102</v>
      </c>
      <c r="H145" s="440" t="s">
        <v>1103</v>
      </c>
      <c r="I145" s="440" t="s">
        <v>2826</v>
      </c>
    </row>
    <row r="146" spans="1:9" x14ac:dyDescent="0.3">
      <c r="A146" s="461"/>
      <c r="B146" s="462"/>
      <c r="C146" s="461"/>
      <c r="D146" s="461"/>
      <c r="E146" s="461"/>
      <c r="F146" s="461"/>
      <c r="G146" s="245" t="s">
        <v>1104</v>
      </c>
      <c r="H146" s="440" t="s">
        <v>1105</v>
      </c>
      <c r="I146" s="440" t="s">
        <v>2827</v>
      </c>
    </row>
    <row r="147" spans="1:9" x14ac:dyDescent="0.3">
      <c r="A147" s="461"/>
      <c r="B147" s="462"/>
      <c r="C147" s="461"/>
      <c r="D147" s="461"/>
      <c r="E147" s="461"/>
      <c r="F147" s="461"/>
      <c r="G147" s="245" t="s">
        <v>2620</v>
      </c>
      <c r="H147" s="440" t="s">
        <v>2621</v>
      </c>
      <c r="I147" s="440" t="s">
        <v>2828</v>
      </c>
    </row>
    <row r="148" spans="1:9" x14ac:dyDescent="0.3">
      <c r="A148" s="461"/>
      <c r="B148" s="462"/>
      <c r="C148" s="461"/>
      <c r="D148" s="461"/>
      <c r="E148" s="461"/>
      <c r="F148" s="461"/>
      <c r="G148" s="245" t="s">
        <v>1106</v>
      </c>
      <c r="H148" s="433" t="str">
        <f>Admin_2030!G103</f>
        <v>PST 1.6.3 Végétaliser les bâtiments de l'administration et y favoriser la biodiversité</v>
      </c>
      <c r="I148" s="433" t="s">
        <v>2832</v>
      </c>
    </row>
    <row r="149" spans="1:9" x14ac:dyDescent="0.3">
      <c r="A149" s="461"/>
      <c r="B149" s="462"/>
      <c r="C149" s="461"/>
      <c r="D149" s="461"/>
      <c r="E149" s="461"/>
      <c r="F149" s="461"/>
      <c r="G149" s="245" t="s">
        <v>1107</v>
      </c>
      <c r="H149" s="440" t="s">
        <v>1108</v>
      </c>
      <c r="I149" s="440" t="s">
        <v>2829</v>
      </c>
    </row>
    <row r="150" spans="1:9" ht="36.6" customHeight="1" x14ac:dyDescent="0.3">
      <c r="A150" s="461"/>
      <c r="B150" s="462"/>
      <c r="C150" s="461"/>
      <c r="D150" s="461"/>
      <c r="E150" s="461"/>
      <c r="F150" s="461"/>
      <c r="G150" s="245" t="s">
        <v>1109</v>
      </c>
      <c r="H150" s="247" t="str">
        <f>Admin_2030!G104</f>
        <v>Fixer un coefficient de biotope pour les bâtiments (0,7 pour nouveaux bâtiments et augmenter le coefficient des autres bâtiments)</v>
      </c>
      <c r="I150" s="247" t="s">
        <v>2830</v>
      </c>
    </row>
    <row r="151" spans="1:9" x14ac:dyDescent="0.3">
      <c r="A151" s="461"/>
      <c r="B151" s="462"/>
      <c r="C151" s="461"/>
      <c r="D151" s="461"/>
      <c r="E151" s="461"/>
      <c r="F151" s="461"/>
      <c r="G151" s="245" t="s">
        <v>1110</v>
      </c>
      <c r="H151" s="247" t="str">
        <f>Admin_2030!G105</f>
        <v>Etudier la faisabilité d’une allée verte allant du nord au sud de la commune</v>
      </c>
      <c r="I151" s="247" t="s">
        <v>2831</v>
      </c>
    </row>
    <row r="152" spans="1:9" x14ac:dyDescent="0.3">
      <c r="A152" s="461"/>
      <c r="B152" s="462"/>
      <c r="C152" s="461"/>
      <c r="D152" s="461"/>
      <c r="E152" s="461"/>
      <c r="F152" s="461"/>
      <c r="G152" s="245" t="s">
        <v>1111</v>
      </c>
      <c r="H152" s="433" t="str">
        <f>Admin_2030!G106</f>
        <v>PST 8.4.2. Établir le Plan d'action Maillage vert 2022-2025</v>
      </c>
      <c r="I152" s="433" t="s">
        <v>2833</v>
      </c>
    </row>
    <row r="153" spans="1:9" ht="34.35" customHeight="1" x14ac:dyDescent="0.3">
      <c r="A153" s="461"/>
      <c r="B153" s="462"/>
      <c r="C153" s="461"/>
      <c r="D153" s="461"/>
      <c r="E153" s="461"/>
      <c r="F153" s="461"/>
      <c r="G153" s="245" t="s">
        <v>1112</v>
      </c>
      <c r="H153" s="433" t="str">
        <f>Admin_2030!G107</f>
        <v xml:space="preserve">PST 8.4.3 Etablir le Plan Arbres communal 2023-2030 </v>
      </c>
      <c r="I153" s="433" t="s">
        <v>2834</v>
      </c>
    </row>
    <row r="154" spans="1:9" ht="41.25" customHeight="1" x14ac:dyDescent="0.3">
      <c r="A154" s="461"/>
      <c r="B154" s="462"/>
      <c r="C154" s="461"/>
      <c r="D154" s="461" t="s">
        <v>2817</v>
      </c>
      <c r="E154" s="461" t="str">
        <f>Admin_2024!E103</f>
        <v>Sensibiliser et changer les comportements par rapport à la biodiversité</v>
      </c>
      <c r="F154" s="461" t="s">
        <v>2821</v>
      </c>
      <c r="G154" s="245" t="s">
        <v>1113</v>
      </c>
      <c r="H154" s="247" t="str">
        <f>Admin_2030!G112</f>
        <v xml:space="preserve">Sensibiliser le personnel à la biodiversité en rappelant qu'il s'agit d'une des 9 limites planétaires. </v>
      </c>
      <c r="I154" s="247" t="s">
        <v>2835</v>
      </c>
    </row>
    <row r="155" spans="1:9" ht="32.1" customHeight="1" x14ac:dyDescent="0.3">
      <c r="A155" s="461"/>
      <c r="B155" s="462"/>
      <c r="C155" s="461"/>
      <c r="D155" s="461"/>
      <c r="E155" s="461"/>
      <c r="F155" s="461"/>
      <c r="G155" s="245" t="s">
        <v>1114</v>
      </c>
      <c r="H155" s="247" t="str">
        <f>Admin_2030!G113</f>
        <v>Placer des panneaux didactiques près des installations favorables à la biodiversité</v>
      </c>
      <c r="I155" s="247" t="s">
        <v>2836</v>
      </c>
    </row>
    <row r="156" spans="1:9" ht="32.1" customHeight="1" x14ac:dyDescent="0.3">
      <c r="A156" s="461"/>
      <c r="B156" s="462"/>
      <c r="C156" s="461"/>
      <c r="D156" s="461"/>
      <c r="E156" s="461"/>
      <c r="F156" s="461"/>
      <c r="G156" s="245" t="s">
        <v>1115</v>
      </c>
      <c r="H156" s="247" t="str">
        <f>Admin_2030!G114</f>
        <v>Organiser des formations potager dans les écoles</v>
      </c>
      <c r="I156" s="247" t="s">
        <v>2837</v>
      </c>
    </row>
    <row r="157" spans="1:9" ht="43.2" x14ac:dyDescent="0.3">
      <c r="A157" s="461"/>
      <c r="B157" s="462"/>
      <c r="C157" s="461"/>
      <c r="D157" s="245" t="s">
        <v>2818</v>
      </c>
      <c r="E157" s="245" t="str">
        <f>Admin_2024!E105</f>
        <v>Opérer un shift vers des espèces adaptés au nouveau climat</v>
      </c>
      <c r="F157" s="245" t="s">
        <v>2822</v>
      </c>
      <c r="G157" s="245" t="s">
        <v>1116</v>
      </c>
      <c r="H157" s="15" t="str">
        <f>Admin_2030!G115</f>
        <v>Planter des variétés d'arbres d'alignement adaptés au changement climatique (conseil dans autres actions)</v>
      </c>
      <c r="I157" s="15" t="s">
        <v>2839</v>
      </c>
    </row>
    <row r="158" spans="1:9" ht="28.8" x14ac:dyDescent="0.3">
      <c r="A158" s="461"/>
      <c r="B158" s="462"/>
      <c r="C158" s="461"/>
      <c r="D158" s="414" t="s">
        <v>2819</v>
      </c>
      <c r="E158" s="414" t="s">
        <v>732</v>
      </c>
      <c r="F158" s="414" t="s">
        <v>2823</v>
      </c>
      <c r="G158" s="414" t="s">
        <v>1117</v>
      </c>
      <c r="H158" s="451" t="str">
        <f>Admin_2030!G111</f>
        <v>Arriver par toutes ces actions à la plantation d’au moins 150 arbres supplémentaires par an à Jette. (KPI global pour cette partie, pas une action)</v>
      </c>
      <c r="I158" s="451" t="s">
        <v>2838</v>
      </c>
    </row>
    <row r="159" spans="1:9" s="430" customFormat="1" ht="6" customHeight="1" x14ac:dyDescent="0.3">
      <c r="A159" s="431" t="s">
        <v>1020</v>
      </c>
      <c r="B159" s="428"/>
      <c r="C159" s="428"/>
      <c r="D159" s="428"/>
      <c r="E159" s="428"/>
      <c r="F159" s="428"/>
      <c r="G159" s="428"/>
      <c r="H159" s="429"/>
      <c r="I159" s="429"/>
    </row>
    <row r="160" spans="1:9" ht="86.4" customHeight="1" x14ac:dyDescent="0.3">
      <c r="A160" s="461" t="str">
        <f>Admin_2024!B127</f>
        <v>Sensibilisation/ gouvernance / Sensibilisering/bestuur</v>
      </c>
      <c r="B160" s="461" t="s">
        <v>731</v>
      </c>
      <c r="C160" s="461" t="str">
        <f>Admin_2024!D127</f>
        <v>OS 8 Mettre en place une bonne structure de gouvernance générale permettant une amélioration continue 
SD 8 Een efficiënte bestuursstructuur implementeren die het mogelijk maakt om voortdurend te verbeteren</v>
      </c>
      <c r="D160" s="461" t="s">
        <v>1118</v>
      </c>
      <c r="E160" s="461" t="str">
        <f>Admin_2024!E127</f>
        <v xml:space="preserve">Mettre en place une bonne gouvernance et un système de gestion permettant une amélioration continue. </v>
      </c>
      <c r="F160" s="461" t="s">
        <v>2841</v>
      </c>
      <c r="G160" s="245" t="s">
        <v>1119</v>
      </c>
      <c r="H160" s="247" t="str">
        <f>Admin_2030!G139</f>
        <v>Créer un groupe de travail formel pour développer une stratégie de changement de comportement, une ecoTeam</v>
      </c>
      <c r="I160" s="247" t="s">
        <v>2842</v>
      </c>
    </row>
    <row r="161" spans="1:9" ht="61.8" customHeight="1" x14ac:dyDescent="0.3">
      <c r="A161" s="461"/>
      <c r="B161" s="461"/>
      <c r="C161" s="461"/>
      <c r="D161" s="461"/>
      <c r="E161" s="461"/>
      <c r="F161" s="461"/>
      <c r="G161" s="245" t="s">
        <v>1120</v>
      </c>
      <c r="H161" s="247" t="str">
        <f>Admin_2030!G140</f>
        <v>Mener une réflexion sur la labellisation "Entreprise Ecodynamique" de certains bâtiments communaux</v>
      </c>
      <c r="I161" s="247" t="s">
        <v>2843</v>
      </c>
    </row>
    <row r="162" spans="1:9" ht="75" customHeight="1" x14ac:dyDescent="0.3">
      <c r="A162" s="461"/>
      <c r="B162" s="461"/>
      <c r="C162" s="461" t="str">
        <f>Admin_2024!D129</f>
        <v>OS 9 Sensibilisation et éduquer des acteurs communaux 
SD 9 Sensibilisering en educatie van gemeentelijke actoren</v>
      </c>
      <c r="D162" s="461" t="s">
        <v>1121</v>
      </c>
      <c r="E162" s="461" t="str">
        <f>Admin_2024!E129</f>
        <v>Former et sensibiliser</v>
      </c>
      <c r="F162" s="461" t="s">
        <v>2840</v>
      </c>
      <c r="G162" s="245" t="s">
        <v>1122</v>
      </c>
      <c r="H162" s="433" t="str">
        <f>Admin_2030!G142</f>
        <v>Plan Synergies A1.1.4. Définir les outils de communication interne en vue d'améliorer la circulation de l’information et PST 1.4.4. Mettre en place une communication interne de sorte que toute information pertinente pour un membre du personnel / un responsable hiérarchique lui parvienne sous une forme adéquate</v>
      </c>
      <c r="I162" s="433" t="s">
        <v>2844</v>
      </c>
    </row>
    <row r="163" spans="1:9" x14ac:dyDescent="0.3">
      <c r="A163" s="461"/>
      <c r="B163" s="461"/>
      <c r="C163" s="461"/>
      <c r="D163" s="461"/>
      <c r="E163" s="461"/>
      <c r="F163" s="461"/>
      <c r="G163" s="245" t="s">
        <v>1123</v>
      </c>
      <c r="H163" s="247" t="str">
        <f>Admin_2030!G143</f>
        <v>Mettre en place une formation pratique du personnel en DD</v>
      </c>
      <c r="I163" s="247" t="s">
        <v>2845</v>
      </c>
    </row>
    <row r="164" spans="1:9" x14ac:dyDescent="0.3">
      <c r="A164" s="461"/>
      <c r="B164" s="461"/>
      <c r="C164" s="461"/>
      <c r="D164" s="461"/>
      <c r="E164" s="461"/>
      <c r="F164" s="461"/>
      <c r="G164" s="245" t="s">
        <v>1124</v>
      </c>
      <c r="H164" s="433" t="s">
        <v>1125</v>
      </c>
      <c r="I164" s="433" t="s">
        <v>2873</v>
      </c>
    </row>
    <row r="165" spans="1:9" x14ac:dyDescent="0.3">
      <c r="A165" s="461"/>
      <c r="B165" s="461"/>
      <c r="C165" s="461"/>
      <c r="D165" s="461"/>
      <c r="E165" s="461"/>
      <c r="F165" s="461"/>
      <c r="G165" s="245" t="s">
        <v>1126</v>
      </c>
      <c r="H165" s="247" t="str">
        <f>Admin_2030!G144</f>
        <v>Organiser des mini-formations pour les puéricultrices à l’utilisation de bricolages avec des matières recyclées</v>
      </c>
      <c r="I165" s="247" t="s">
        <v>2846</v>
      </c>
    </row>
    <row r="166" spans="1:9" ht="28.8" x14ac:dyDescent="0.3">
      <c r="A166" s="461"/>
      <c r="B166" s="461"/>
      <c r="C166" s="461"/>
      <c r="D166" s="461"/>
      <c r="E166" s="461"/>
      <c r="F166" s="461"/>
      <c r="G166" s="245" t="s">
        <v>1127</v>
      </c>
      <c r="H166" s="437" t="str">
        <f>Admin_2030!G145</f>
        <v>Intégrer la transition durable (zéro déchet, good food, mobilité durable, énergie, circularité, commerce équitable…) dans la culture d’entreprise et sensibiliser le personnel via des activités régulières</v>
      </c>
      <c r="I166" s="437" t="s">
        <v>2847</v>
      </c>
    </row>
    <row r="167" spans="1:9" ht="28.8" x14ac:dyDescent="0.3">
      <c r="A167" s="461"/>
      <c r="B167" s="461"/>
      <c r="C167" s="461"/>
      <c r="D167" s="461"/>
      <c r="E167" s="461"/>
      <c r="F167" s="461"/>
      <c r="G167" s="245" t="s">
        <v>1128</v>
      </c>
      <c r="H167" s="247" t="str">
        <f>Admin_2030!G147</f>
        <v>Communiquer/impliquer le personnel dans les actions citoyennes/événements communaux (à intégrer dans le plan de communication)</v>
      </c>
      <c r="I167" s="247" t="s">
        <v>2848</v>
      </c>
    </row>
    <row r="168" spans="1:9" x14ac:dyDescent="0.3">
      <c r="A168" s="461"/>
      <c r="B168" s="461"/>
      <c r="C168" s="461"/>
      <c r="D168" s="461"/>
      <c r="E168" s="461"/>
      <c r="F168" s="461"/>
      <c r="G168" s="245" t="s">
        <v>1129</v>
      </c>
      <c r="H168" s="437" t="str">
        <f>Admin_2030!G148</f>
        <v>Demander un engagement fort des responsables communaux (exemplarité)</v>
      </c>
      <c r="I168" s="437" t="s">
        <v>2849</v>
      </c>
    </row>
    <row r="169" spans="1:9" ht="28.8" x14ac:dyDescent="0.3">
      <c r="A169" s="461"/>
      <c r="B169" s="461"/>
      <c r="C169" s="461"/>
      <c r="D169" s="461"/>
      <c r="E169" s="461"/>
      <c r="F169" s="461"/>
      <c r="G169" s="245" t="s">
        <v>1130</v>
      </c>
      <c r="H169" s="434" t="str">
        <f>Admin_2030!G150</f>
        <v>Analyser l'utilisation par défaut d'un moteur de recherche eco et responsable au sein de l’administration</v>
      </c>
      <c r="I169" s="434" t="s">
        <v>2874</v>
      </c>
    </row>
    <row r="170" spans="1:9" x14ac:dyDescent="0.3">
      <c r="A170" s="461"/>
      <c r="B170" s="461"/>
      <c r="C170" s="461"/>
      <c r="D170" s="461"/>
      <c r="E170" s="461"/>
      <c r="F170" s="461"/>
      <c r="G170" s="245" t="s">
        <v>1131</v>
      </c>
      <c r="H170" s="247" t="str">
        <f>Admin_2030!G151</f>
        <v>Encourager les écoles à obtenir le label « Eco-Schools » ou autre label</v>
      </c>
      <c r="I170" s="247" t="s">
        <v>2850</v>
      </c>
    </row>
    <row r="171" spans="1:9" ht="15" customHeight="1" x14ac:dyDescent="0.3">
      <c r="A171" s="461"/>
      <c r="B171" s="461"/>
      <c r="C171" s="461"/>
      <c r="D171" s="461"/>
      <c r="E171" s="461"/>
      <c r="F171" s="461"/>
      <c r="G171" s="245"/>
      <c r="H171" s="247"/>
      <c r="I171" s="247"/>
    </row>
    <row r="172" spans="1:9" ht="6" customHeight="1" x14ac:dyDescent="0.3">
      <c r="A172" s="251"/>
      <c r="B172" s="251"/>
      <c r="C172" s="251"/>
      <c r="D172" s="251"/>
      <c r="E172" s="251"/>
      <c r="F172" s="251"/>
      <c r="G172" s="251"/>
      <c r="H172" s="251"/>
      <c r="I172" s="251"/>
    </row>
  </sheetData>
  <autoFilter ref="A1:I171" xr:uid="{FE249062-3A36-4E5A-8AC3-291792B1A447}"/>
  <mergeCells count="100">
    <mergeCell ref="F143:F153"/>
    <mergeCell ref="F154:F156"/>
    <mergeCell ref="F160:F161"/>
    <mergeCell ref="F162:F166"/>
    <mergeCell ref="F167:F171"/>
    <mergeCell ref="F123:F131"/>
    <mergeCell ref="F133:F135"/>
    <mergeCell ref="F137:F138"/>
    <mergeCell ref="F140:F141"/>
    <mergeCell ref="F2:F3"/>
    <mergeCell ref="F4:F31"/>
    <mergeCell ref="F32:F43"/>
    <mergeCell ref="F45:F49"/>
    <mergeCell ref="F50:F52"/>
    <mergeCell ref="F58:F60"/>
    <mergeCell ref="F61:F68"/>
    <mergeCell ref="F69:F80"/>
    <mergeCell ref="F53:F56"/>
    <mergeCell ref="F96:F100"/>
    <mergeCell ref="F102:F106"/>
    <mergeCell ref="F82:F84"/>
    <mergeCell ref="D53:D56"/>
    <mergeCell ref="E82:E84"/>
    <mergeCell ref="E2:E3"/>
    <mergeCell ref="E4:E31"/>
    <mergeCell ref="E50:E52"/>
    <mergeCell ref="E53:E56"/>
    <mergeCell ref="E32:E43"/>
    <mergeCell ref="E45:E49"/>
    <mergeCell ref="D45:D49"/>
    <mergeCell ref="E58:E60"/>
    <mergeCell ref="E61:E68"/>
    <mergeCell ref="E69:E80"/>
    <mergeCell ref="D58:D60"/>
    <mergeCell ref="D69:D80"/>
    <mergeCell ref="D61:D68"/>
    <mergeCell ref="D82:D84"/>
    <mergeCell ref="D85:D89"/>
    <mergeCell ref="D90:D91"/>
    <mergeCell ref="A2:A56"/>
    <mergeCell ref="B2:B56"/>
    <mergeCell ref="C2:C56"/>
    <mergeCell ref="A58:A80"/>
    <mergeCell ref="B58:B80"/>
    <mergeCell ref="C58:C80"/>
    <mergeCell ref="A82:A94"/>
    <mergeCell ref="B82:B94"/>
    <mergeCell ref="C82:C94"/>
    <mergeCell ref="D2:D3"/>
    <mergeCell ref="D4:D31"/>
    <mergeCell ref="D32:D43"/>
    <mergeCell ref="D50:D52"/>
    <mergeCell ref="A143:A158"/>
    <mergeCell ref="B143:B158"/>
    <mergeCell ref="C143:C158"/>
    <mergeCell ref="A96:A108"/>
    <mergeCell ref="B96:B108"/>
    <mergeCell ref="C96:C108"/>
    <mergeCell ref="A110:A131"/>
    <mergeCell ref="B110:B131"/>
    <mergeCell ref="C110:C131"/>
    <mergeCell ref="A133:A141"/>
    <mergeCell ref="B133:B141"/>
    <mergeCell ref="C133:C141"/>
    <mergeCell ref="E137:E138"/>
    <mergeCell ref="E140:E141"/>
    <mergeCell ref="E154:E156"/>
    <mergeCell ref="D137:D138"/>
    <mergeCell ref="D140:D141"/>
    <mergeCell ref="D143:D153"/>
    <mergeCell ref="D154:D156"/>
    <mergeCell ref="E143:E153"/>
    <mergeCell ref="A160:A171"/>
    <mergeCell ref="B160:B171"/>
    <mergeCell ref="C162:C171"/>
    <mergeCell ref="E167:E171"/>
    <mergeCell ref="D167:D171"/>
    <mergeCell ref="E162:E166"/>
    <mergeCell ref="D162:D166"/>
    <mergeCell ref="C160:C161"/>
    <mergeCell ref="D160:D161"/>
    <mergeCell ref="E160:E161"/>
    <mergeCell ref="E123:E131"/>
    <mergeCell ref="D111:D121"/>
    <mergeCell ref="D133:D135"/>
    <mergeCell ref="D123:D131"/>
    <mergeCell ref="E133:E135"/>
    <mergeCell ref="F111:F121"/>
    <mergeCell ref="F85:F89"/>
    <mergeCell ref="F90:F91"/>
    <mergeCell ref="F92:F93"/>
    <mergeCell ref="D96:D100"/>
    <mergeCell ref="E102:E106"/>
    <mergeCell ref="E96:E100"/>
    <mergeCell ref="D102:D106"/>
    <mergeCell ref="E85:E89"/>
    <mergeCell ref="E90:E91"/>
    <mergeCell ref="E92:E93"/>
    <mergeCell ref="D92:D93"/>
    <mergeCell ref="E111:E121"/>
  </mergeCells>
  <phoneticPr fontId="7" type="noConversion"/>
  <pageMargins left="0.7" right="0.7" top="0.75" bottom="0.75" header="0.3" footer="0.3"/>
  <pageSetup orientation="portrait" horizontalDpi="360" verticalDpi="36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07140-B25E-461A-A06B-3978E4E376F2}">
  <sheetPr codeName="Sheet6">
    <tabColor rgb="FF019CDB"/>
  </sheetPr>
  <dimension ref="B2:W125"/>
  <sheetViews>
    <sheetView showGridLines="0" topLeftCell="A85" zoomScale="90" zoomScaleNormal="90" workbookViewId="0">
      <selection activeCell="H27" sqref="H27"/>
    </sheetView>
  </sheetViews>
  <sheetFormatPr baseColWidth="10" defaultColWidth="8.88671875" defaultRowHeight="14.4" x14ac:dyDescent="0.3"/>
  <cols>
    <col min="7" max="8" width="9.44140625" bestFit="1" customWidth="1"/>
    <col min="9" max="9" width="10.109375" customWidth="1"/>
  </cols>
  <sheetData>
    <row r="2" spans="2:2" ht="16.8" x14ac:dyDescent="0.4">
      <c r="B2" s="426" t="s">
        <v>1132</v>
      </c>
    </row>
    <row r="27" spans="2:10" ht="16.8" x14ac:dyDescent="0.4">
      <c r="B27" s="426" t="s">
        <v>1133</v>
      </c>
    </row>
    <row r="29" spans="2:10" x14ac:dyDescent="0.3">
      <c r="I29" t="s">
        <v>1134</v>
      </c>
    </row>
    <row r="30" spans="2:10" x14ac:dyDescent="0.3">
      <c r="B30" s="4" t="s">
        <v>1135</v>
      </c>
      <c r="H30" s="411">
        <f>Sankey_diag!H29</f>
        <v>1524.683491382724</v>
      </c>
    </row>
    <row r="31" spans="2:10" x14ac:dyDescent="0.3">
      <c r="B31" s="133" t="s">
        <v>932</v>
      </c>
      <c r="H31" s="411" t="e">
        <f>'Plan Climat_Admin_2030'!#REF!*-1</f>
        <v>#REF!</v>
      </c>
      <c r="I31" s="167" t="e">
        <f>H30+H31</f>
        <v>#REF!</v>
      </c>
      <c r="J31" s="104" t="e">
        <f>H31/$H$30</f>
        <v>#REF!</v>
      </c>
    </row>
    <row r="32" spans="2:10" x14ac:dyDescent="0.3">
      <c r="B32" s="133" t="s">
        <v>1136</v>
      </c>
      <c r="H32" s="411" t="e">
        <f>'Plan Climat_Admin_2030'!#REF!*-1</f>
        <v>#REF!</v>
      </c>
      <c r="I32" s="167" t="e">
        <f>I31+H32</f>
        <v>#REF!</v>
      </c>
      <c r="J32" s="104" t="e">
        <f t="shared" ref="J32:J41" si="0">H32/$H$30</f>
        <v>#REF!</v>
      </c>
    </row>
    <row r="33" spans="2:11" x14ac:dyDescent="0.3">
      <c r="B33" s="133" t="s">
        <v>1137</v>
      </c>
      <c r="H33" s="411" t="e">
        <f>(Admin_2030!W45+Admin_graphiques!H31+Admin_graphiques!H32)*Admin_2030!Z45*Admin_2030!T45*-1</f>
        <v>#REF!</v>
      </c>
      <c r="I33" s="167" t="e">
        <f t="shared" ref="I33:I41" si="1">I32+H33</f>
        <v>#REF!</v>
      </c>
      <c r="J33" s="104" t="e">
        <f t="shared" si="0"/>
        <v>#REF!</v>
      </c>
    </row>
    <row r="34" spans="2:11" x14ac:dyDescent="0.3">
      <c r="B34" s="133" t="s">
        <v>1006</v>
      </c>
      <c r="H34" s="411" t="e">
        <f>(Admin_2030!W45+Admin_graphiques!H31+Admin_graphiques!H32+H33)*Admin_2030!Z42*-1</f>
        <v>#REF!</v>
      </c>
      <c r="I34" s="167" t="e">
        <f>I33+H34</f>
        <v>#REF!</v>
      </c>
      <c r="J34" s="104" t="e">
        <f t="shared" si="0"/>
        <v>#REF!</v>
      </c>
    </row>
    <row r="35" spans="2:11" x14ac:dyDescent="0.3">
      <c r="B35" s="133" t="s">
        <v>1138</v>
      </c>
      <c r="H35" s="411" t="e">
        <f>'Plan Climat_Admin_2030'!#REF!*-1</f>
        <v>#REF!</v>
      </c>
      <c r="I35" s="167" t="e">
        <f t="shared" si="1"/>
        <v>#REF!</v>
      </c>
      <c r="J35" s="104" t="e">
        <f t="shared" si="0"/>
        <v>#REF!</v>
      </c>
      <c r="K35" s="104"/>
    </row>
    <row r="36" spans="2:11" x14ac:dyDescent="0.3">
      <c r="B36" s="133" t="s">
        <v>1139</v>
      </c>
      <c r="H36">
        <v>0</v>
      </c>
      <c r="I36" s="167" t="e">
        <f t="shared" si="1"/>
        <v>#REF!</v>
      </c>
      <c r="J36" s="104">
        <f t="shared" si="0"/>
        <v>0</v>
      </c>
    </row>
    <row r="37" spans="2:11" x14ac:dyDescent="0.3">
      <c r="B37" s="133" t="s">
        <v>982</v>
      </c>
      <c r="H37">
        <v>0</v>
      </c>
      <c r="I37" s="167" t="e">
        <f t="shared" si="1"/>
        <v>#REF!</v>
      </c>
      <c r="J37" s="104">
        <f t="shared" si="0"/>
        <v>0</v>
      </c>
    </row>
    <row r="38" spans="2:11" x14ac:dyDescent="0.3">
      <c r="B38" s="133" t="s">
        <v>984</v>
      </c>
      <c r="H38">
        <v>0</v>
      </c>
      <c r="I38" s="167" t="e">
        <f t="shared" si="1"/>
        <v>#REF!</v>
      </c>
      <c r="J38" s="104">
        <f t="shared" si="0"/>
        <v>0</v>
      </c>
    </row>
    <row r="39" spans="2:11" x14ac:dyDescent="0.3">
      <c r="B39" s="133" t="s">
        <v>1140</v>
      </c>
      <c r="H39" s="167" t="e">
        <f>I34*Admin_2030!Z63*10%*-1</f>
        <v>#REF!</v>
      </c>
      <c r="I39" s="167" t="e">
        <f t="shared" si="1"/>
        <v>#REF!</v>
      </c>
      <c r="J39" s="104" t="e">
        <f t="shared" si="0"/>
        <v>#REF!</v>
      </c>
    </row>
    <row r="40" spans="2:11" x14ac:dyDescent="0.3">
      <c r="B40" s="133" t="s">
        <v>1002</v>
      </c>
      <c r="H40" s="167"/>
      <c r="I40" s="167" t="e">
        <f>I39+H40</f>
        <v>#REF!</v>
      </c>
      <c r="J40" s="104">
        <f t="shared" si="0"/>
        <v>0</v>
      </c>
    </row>
    <row r="41" spans="2:11" x14ac:dyDescent="0.3">
      <c r="B41" s="133" t="s">
        <v>1141</v>
      </c>
      <c r="H41" s="167" t="e">
        <f>I40*Admin_2030!Z56*Admin_2030!T56*-1</f>
        <v>#REF!</v>
      </c>
      <c r="I41" s="167" t="e">
        <f t="shared" si="1"/>
        <v>#REF!</v>
      </c>
      <c r="J41" s="104" t="e">
        <f t="shared" si="0"/>
        <v>#REF!</v>
      </c>
    </row>
    <row r="42" spans="2:11" x14ac:dyDescent="0.3">
      <c r="B42" s="416" t="s">
        <v>1142</v>
      </c>
      <c r="H42" s="167" t="e">
        <f>SUM(H30:H41)</f>
        <v>#REF!</v>
      </c>
      <c r="I42" s="104" t="e">
        <f>1-H42/H30</f>
        <v>#REF!</v>
      </c>
    </row>
    <row r="43" spans="2:11" x14ac:dyDescent="0.3">
      <c r="B43" s="133"/>
    </row>
    <row r="47" spans="2:11" x14ac:dyDescent="0.3">
      <c r="B47" s="4" t="s">
        <v>1143</v>
      </c>
      <c r="H47" s="417">
        <f>Sankey_diag!H3</f>
        <v>1062.6136687625692</v>
      </c>
    </row>
    <row r="48" spans="2:11" x14ac:dyDescent="0.3">
      <c r="B48" t="e">
        <f>'Plan Climat_Admin_2030'!#REF!</f>
        <v>#REF!</v>
      </c>
      <c r="H48" s="168" t="e">
        <f>'Plan Climat_Admin_2030'!#REF!*-1</f>
        <v>#REF!</v>
      </c>
      <c r="I48" s="104" t="e">
        <f>H48/$H$47</f>
        <v>#REF!</v>
      </c>
    </row>
    <row r="49" spans="2:9" x14ac:dyDescent="0.3">
      <c r="B49" t="e">
        <f>'Plan Climat_Admin_2030'!#REF!</f>
        <v>#REF!</v>
      </c>
      <c r="H49" s="168" t="e">
        <f>'Plan Climat_Admin_2030'!#REF!*-1</f>
        <v>#REF!</v>
      </c>
      <c r="I49" s="104" t="e">
        <f t="shared" ref="I49:I55" si="2">H49/$H$47</f>
        <v>#REF!</v>
      </c>
    </row>
    <row r="50" spans="2:9" x14ac:dyDescent="0.3">
      <c r="B50" t="e">
        <f>'Plan Climat_Admin_2030'!#REF!</f>
        <v>#REF!</v>
      </c>
      <c r="H50" s="168" t="e">
        <f>'Plan Climat_Admin_2030'!#REF!*-1</f>
        <v>#REF!</v>
      </c>
      <c r="I50" s="104" t="e">
        <f t="shared" si="2"/>
        <v>#REF!</v>
      </c>
    </row>
    <row r="51" spans="2:9" x14ac:dyDescent="0.3">
      <c r="B51" t="e">
        <f>'Plan Climat_Admin_2030'!#REF!</f>
        <v>#REF!</v>
      </c>
      <c r="H51" s="168" t="e">
        <f>(Sankey_diag!K23+SUM(Admin_graphiques!H49:H50))*Admin_2030!Z116*(Admin_2030!T116-Admin_2030!U116)*-1</f>
        <v>#REF!</v>
      </c>
      <c r="I51" s="104" t="e">
        <f t="shared" si="2"/>
        <v>#REF!</v>
      </c>
    </row>
    <row r="52" spans="2:9" x14ac:dyDescent="0.3">
      <c r="B52" t="e">
        <f>'Plan Climat_Admin_2030'!#REF!</f>
        <v>#REF!</v>
      </c>
      <c r="H52" s="168" t="e">
        <f>(Sankey_diag!K3+Admin_graphiques!H48)*Admin_2030!Z118*-1</f>
        <v>#REF!</v>
      </c>
      <c r="I52" s="104" t="e">
        <f t="shared" si="2"/>
        <v>#REF!</v>
      </c>
    </row>
    <row r="53" spans="2:9" x14ac:dyDescent="0.3">
      <c r="B53" t="e">
        <f>'Plan Climat_Admin_2030'!#REF!</f>
        <v>#REF!</v>
      </c>
      <c r="H53" s="168" t="e">
        <f>(SUM(Sankey_diag!N20,Sankey_diag!N21,Sankey_diag!N25,Sankey_diag!N26)+SUM(H49,H50,H51))*Admin_2030!Z128*Admin_2030!T128*-1</f>
        <v>#REF!</v>
      </c>
      <c r="I53" s="104" t="e">
        <f t="shared" si="2"/>
        <v>#REF!</v>
      </c>
    </row>
    <row r="54" spans="2:9" x14ac:dyDescent="0.3">
      <c r="B54" t="e">
        <f>'Plan Climat_Admin_2030'!#REF!</f>
        <v>#REF!</v>
      </c>
      <c r="H54" s="168" t="e">
        <f>((SUM(Sankey_diag!N3,Sankey_diag!N7,Sankey_diag!N11,Sankey_diag!N15)*(1-Admin_2030!T137))+Admin_graphiques!H52)*(Admin_2030!U131-Admin_2030!T131)*-1</f>
        <v>#REF!</v>
      </c>
      <c r="I54" s="104" t="e">
        <f t="shared" si="2"/>
        <v>#REF!</v>
      </c>
    </row>
    <row r="55" spans="2:9" x14ac:dyDescent="0.3">
      <c r="B55" t="s">
        <v>1144</v>
      </c>
      <c r="H55" s="168" t="e">
        <f>(((SUM(Sankey_diag!N3,Sankey_diag!N7,Sankey_diag!N11,Sankey_diag!N15)*(1-Admin_2030!T137))+Admin_graphiques!H52)+H54)*Overview_2024_2030!C37</f>
        <v>#REF!</v>
      </c>
      <c r="I55" s="104" t="e">
        <f t="shared" si="2"/>
        <v>#REF!</v>
      </c>
    </row>
    <row r="56" spans="2:9" x14ac:dyDescent="0.3">
      <c r="B56" s="4" t="s">
        <v>1145</v>
      </c>
      <c r="H56" s="394" t="e">
        <f>SUM(H47:H55)</f>
        <v>#REF!</v>
      </c>
      <c r="I56" s="104" t="e">
        <f>1-H56/H47</f>
        <v>#REF!</v>
      </c>
    </row>
    <row r="66" spans="2:23" x14ac:dyDescent="0.3">
      <c r="W66" t="s">
        <v>1146</v>
      </c>
    </row>
    <row r="68" spans="2:23" x14ac:dyDescent="0.3">
      <c r="B68" s="4" t="s">
        <v>1147</v>
      </c>
      <c r="H68" s="417">
        <f>Sankey_diag!K57</f>
        <v>415.15715160000002</v>
      </c>
    </row>
    <row r="69" spans="2:23" x14ac:dyDescent="0.3">
      <c r="B69" t="e">
        <f>'Plan Climat_Admin_2030'!#REF!</f>
        <v>#REF!</v>
      </c>
      <c r="H69" s="168" t="e">
        <f>'Plan Climat_Admin_2030'!#REF!*-1</f>
        <v>#REF!</v>
      </c>
      <c r="I69" s="104" t="e">
        <f>H69/$H$68</f>
        <v>#REF!</v>
      </c>
    </row>
    <row r="70" spans="2:23" x14ac:dyDescent="0.3">
      <c r="B70" t="e">
        <f>'Plan Climat_Admin_2030'!#REF!</f>
        <v>#REF!</v>
      </c>
      <c r="H70" s="168" t="e">
        <f>'Plan Climat_Admin_2030'!#REF!*-1</f>
        <v>#REF!</v>
      </c>
      <c r="I70" s="104" t="e">
        <f t="shared" ref="I70:I75" si="3">H70/$H$68</f>
        <v>#REF!</v>
      </c>
    </row>
    <row r="71" spans="2:23" x14ac:dyDescent="0.3">
      <c r="B71" t="e">
        <f>'Plan Climat_Admin_2030'!#REF!</f>
        <v>#REF!</v>
      </c>
      <c r="H71" s="168" t="e">
        <f>'Plan Climat_Admin_2030'!#REF!*-1</f>
        <v>#REF!</v>
      </c>
      <c r="I71" s="104" t="e">
        <f t="shared" si="3"/>
        <v>#REF!</v>
      </c>
    </row>
    <row r="72" spans="2:23" x14ac:dyDescent="0.3">
      <c r="B72" t="e">
        <f>'Plan Climat_Admin_2030'!#REF!</f>
        <v>#REF!</v>
      </c>
      <c r="H72" s="168" t="e">
        <f>'Plan Climat_Admin_2030'!#REF!*-1</f>
        <v>#REF!</v>
      </c>
      <c r="I72" s="104" t="e">
        <f t="shared" si="3"/>
        <v>#REF!</v>
      </c>
    </row>
    <row r="73" spans="2:23" x14ac:dyDescent="0.3">
      <c r="B73" t="e">
        <f>'Plan Climat_Admin_2030'!#REF!</f>
        <v>#REF!</v>
      </c>
      <c r="H73" s="168" t="e">
        <f>'Plan Climat_Admin_2030'!#REF!*-1</f>
        <v>#REF!</v>
      </c>
      <c r="I73" s="104" t="e">
        <f t="shared" si="3"/>
        <v>#REF!</v>
      </c>
    </row>
    <row r="74" spans="2:23" x14ac:dyDescent="0.3">
      <c r="B74" t="e">
        <f>'Plan Climat_Admin_2030'!#REF!</f>
        <v>#REF!</v>
      </c>
      <c r="H74" s="168" t="e">
        <f>'Plan Climat_Admin_2030'!#REF!*-1</f>
        <v>#REF!</v>
      </c>
      <c r="I74" s="104" t="e">
        <f t="shared" si="3"/>
        <v>#REF!</v>
      </c>
    </row>
    <row r="75" spans="2:23" x14ac:dyDescent="0.3">
      <c r="B75" t="e">
        <f>'Plan Climat_Admin_2030'!#REF!</f>
        <v>#REF!</v>
      </c>
      <c r="H75" s="168">
        <v>0</v>
      </c>
      <c r="I75" s="104">
        <f t="shared" si="3"/>
        <v>0</v>
      </c>
    </row>
    <row r="76" spans="2:23" x14ac:dyDescent="0.3">
      <c r="B76" s="4" t="s">
        <v>1148</v>
      </c>
      <c r="H76" s="394" t="e">
        <f>SUM(H68:H75)</f>
        <v>#REF!</v>
      </c>
      <c r="I76" s="104" t="e">
        <f>1-H76/H68</f>
        <v>#REF!</v>
      </c>
    </row>
    <row r="87" spans="2:8" x14ac:dyDescent="0.3">
      <c r="B87" s="4" t="s">
        <v>1149</v>
      </c>
      <c r="G87" s="418">
        <f>SUM(Sankey_diag!K51:K56)</f>
        <v>294.43</v>
      </c>
    </row>
    <row r="88" spans="2:8" x14ac:dyDescent="0.3">
      <c r="B88" t="e">
        <f>'Plan Climat_Admin_2030'!#REF!</f>
        <v>#REF!</v>
      </c>
      <c r="G88" s="168" t="e">
        <f>'Plan Climat_Admin_2030'!#REF!*-1</f>
        <v>#REF!</v>
      </c>
      <c r="H88" s="104" t="e">
        <f>G88/$G$87</f>
        <v>#REF!</v>
      </c>
    </row>
    <row r="89" spans="2:8" x14ac:dyDescent="0.3">
      <c r="B89" t="e">
        <f>'Plan Climat_Admin_2030'!#REF!</f>
        <v>#REF!</v>
      </c>
      <c r="G89" s="168">
        <f>SUM(Sankey_diag!S36,Sankey_diag!S37,Sankey_diag!S38,Sankey_diag!S40,Sankey_diag!S41,Sankey_diag!S42,Sankey_diag!S44,Sankey_diag!S45,Sankey_diag!S46,Sankey_diag!S48,Sankey_diag!S49,Sankey_diag!S50,Sankey_diag!S51,Sankey_diag!S52)/COUNTA(Sankey_diag!S36,Sankey_diag!S37,Sankey_diag!S38,Sankey_diag!S40,Sankey_diag!S41,Sankey_diag!S42,Sankey_diag!S44,Sankey_diag!S45,Sankey_diag!S46,Sankey_diag!S48,Sankey_diag!S49,Sankey_diag!S50,Sankey_diag!S51,Sankey_diag!S52)*Admin_2030!T9*Admin_2030!Z9*-1</f>
        <v>-8.2639495714285722</v>
      </c>
      <c r="H89" s="104">
        <f t="shared" ref="H89:H93" si="4">G89/$G$87</f>
        <v>-2.8067620729642265E-2</v>
      </c>
    </row>
    <row r="90" spans="2:8" x14ac:dyDescent="0.3">
      <c r="B90" t="e">
        <f>'Plan Climat_Admin_2030'!#REF!</f>
        <v>#REF!</v>
      </c>
      <c r="G90" s="168" t="e">
        <f>'Plan Climat_Admin_2030'!#REF!</f>
        <v>#REF!</v>
      </c>
      <c r="H90" s="104" t="e">
        <f t="shared" si="4"/>
        <v>#REF!</v>
      </c>
    </row>
    <row r="91" spans="2:8" x14ac:dyDescent="0.3">
      <c r="B91" t="e">
        <f>'Plan Climat_Admin_2030'!#REF!</f>
        <v>#REF!</v>
      </c>
      <c r="G91" s="168" t="e">
        <f>'Plan Climat_Admin_2030'!#REF!*-1</f>
        <v>#REF!</v>
      </c>
      <c r="H91" s="104" t="e">
        <f t="shared" si="4"/>
        <v>#REF!</v>
      </c>
    </row>
    <row r="92" spans="2:8" x14ac:dyDescent="0.3">
      <c r="B92" t="e">
        <f>'Plan Climat_Admin_2030'!#REF!</f>
        <v>#REF!</v>
      </c>
      <c r="G92" s="168" t="e">
        <f>(SUM(Sankey_diag!K51:K56)+Admin_graphiques!G88/Admin_2030!Z8+Admin_graphiques!G89/Admin_2030!Z9-Sankey_diag!S43)*Admin_2030!Z2*-1</f>
        <v>#REF!</v>
      </c>
      <c r="H92" s="104" t="e">
        <f t="shared" si="4"/>
        <v>#REF!</v>
      </c>
    </row>
    <row r="93" spans="2:8" x14ac:dyDescent="0.3">
      <c r="B93" t="e">
        <f>'Plan Climat_Admin_2030'!#REF!</f>
        <v>#REF!</v>
      </c>
      <c r="G93" s="168">
        <f>(Sankey_diag!K55-Sankey_diag!S43+(Admin_graphiques!G89/Admin_2030!Z9))*Admin_2030!Z5*-1</f>
        <v>-17.639545714285717</v>
      </c>
      <c r="H93" s="104">
        <f t="shared" si="4"/>
        <v>-5.9910830126976587E-2</v>
      </c>
    </row>
    <row r="94" spans="2:8" x14ac:dyDescent="0.3">
      <c r="B94" s="4" t="s">
        <v>1150</v>
      </c>
      <c r="G94" s="418" t="e">
        <f>SUM(G87:G93)</f>
        <v>#REF!</v>
      </c>
      <c r="H94" s="104" t="e">
        <f>1-G94/G87</f>
        <v>#REF!</v>
      </c>
    </row>
    <row r="109" spans="2:8" x14ac:dyDescent="0.3">
      <c r="B109" s="4" t="s">
        <v>1151</v>
      </c>
      <c r="G109" s="418">
        <f>Sankey_diag!H44</f>
        <v>378.29521400000004</v>
      </c>
    </row>
    <row r="110" spans="2:8" x14ac:dyDescent="0.3">
      <c r="B110" t="e">
        <f>'Plan Climat_Admin_2030'!#REF!</f>
        <v>#REF!</v>
      </c>
      <c r="G110" s="411" t="e">
        <f>'Plan Climat_Admin_2030'!#REF!</f>
        <v>#REF!</v>
      </c>
      <c r="H110" s="104" t="e">
        <f>G110/$G$109</f>
        <v>#REF!</v>
      </c>
    </row>
    <row r="111" spans="2:8" x14ac:dyDescent="0.3">
      <c r="B111" t="e">
        <f>'Plan Climat_Admin_2030'!#REF!</f>
        <v>#REF!</v>
      </c>
      <c r="G111" s="411">
        <f>Sankey_diag!N50*Admin_2030!Z73*Admin_2030!T73*-1</f>
        <v>-2.2671576000000004</v>
      </c>
      <c r="H111" s="104">
        <f t="shared" ref="H111:H121" si="5">G111/$G$109</f>
        <v>-5.9930908880068473E-3</v>
      </c>
    </row>
    <row r="112" spans="2:8" x14ac:dyDescent="0.3">
      <c r="B112" t="e">
        <f>'Plan Climat_Admin_2030'!#REF!</f>
        <v>#REF!</v>
      </c>
      <c r="G112" s="411" t="e">
        <f>'Plan Climat_Admin_2030'!#REF!*-1</f>
        <v>#REF!</v>
      </c>
      <c r="H112" s="104" t="e">
        <f t="shared" si="5"/>
        <v>#REF!</v>
      </c>
    </row>
    <row r="113" spans="2:8" x14ac:dyDescent="0.3">
      <c r="B113" t="e">
        <f>'Plan Climat_Admin_2030'!#REF!</f>
        <v>#REF!</v>
      </c>
      <c r="G113" s="411" t="e">
        <f>'Plan Climat_Admin_2030'!#REF!</f>
        <v>#REF!</v>
      </c>
      <c r="H113" s="104" t="e">
        <f t="shared" si="5"/>
        <v>#REF!</v>
      </c>
    </row>
    <row r="114" spans="2:8" x14ac:dyDescent="0.3">
      <c r="B114" t="e">
        <f>'Plan Climat_Admin_2030'!#REF!</f>
        <v>#REF!</v>
      </c>
      <c r="G114" s="411" t="e">
        <f>'Plan Climat_Admin_2030'!#REF!*-1</f>
        <v>#REF!</v>
      </c>
      <c r="H114" s="104" t="e">
        <f t="shared" si="5"/>
        <v>#REF!</v>
      </c>
    </row>
    <row r="115" spans="2:8" x14ac:dyDescent="0.3">
      <c r="B115" t="e">
        <f>'Plan Climat_Admin_2030'!#REF!</f>
        <v>#REF!</v>
      </c>
      <c r="G115" s="411" t="e">
        <f>'Plan Climat_Admin_2030'!#REF!*-1</f>
        <v>#REF!</v>
      </c>
      <c r="H115" s="104" t="e">
        <f t="shared" si="5"/>
        <v>#REF!</v>
      </c>
    </row>
    <row r="116" spans="2:8" x14ac:dyDescent="0.3">
      <c r="B116" t="e">
        <f>'Plan Climat_Admin_2030'!#REF!</f>
        <v>#REF!</v>
      </c>
      <c r="G116" s="411">
        <f>Admin_2030!W78*(1-Admin_2030!Z87)*Admin_2030!Z78*-1</f>
        <v>-6.2488032750000011</v>
      </c>
      <c r="H116" s="104">
        <f t="shared" si="5"/>
        <v>-1.6518324958242799E-2</v>
      </c>
    </row>
    <row r="117" spans="2:8" x14ac:dyDescent="0.3">
      <c r="B117" t="e">
        <f>'Plan Climat_Admin_2030'!#REF!</f>
        <v>#REF!</v>
      </c>
      <c r="G117" s="411">
        <f>Admin_2030!W79*(1-Admin_2030!Z87)*(1-Admin_2030!Z78)*Admin_2030!T79*Admin_2030!Z79*-1</f>
        <v>-11.788662366000006</v>
      </c>
      <c r="H117" s="104">
        <f t="shared" si="5"/>
        <v>-3.1162599815497547E-2</v>
      </c>
    </row>
    <row r="118" spans="2:8" x14ac:dyDescent="0.3">
      <c r="B118" t="e">
        <f>'Plan Climat_Admin_2030'!#REF!</f>
        <v>#REF!</v>
      </c>
      <c r="G118" s="411">
        <f>Sankey_diag!N50*(1-Admin_2030!T73)*Admin_2030!Z81*Admin_2030!T81</f>
        <v>0.11335787999999999</v>
      </c>
      <c r="H118" s="104">
        <f t="shared" si="5"/>
        <v>2.9965454440034224E-4</v>
      </c>
    </row>
    <row r="119" spans="2:8" x14ac:dyDescent="0.3">
      <c r="B119" t="e">
        <f>'Plan Climat_Admin_2030'!#REF!</f>
        <v>#REF!</v>
      </c>
      <c r="G119" s="411">
        <v>0</v>
      </c>
      <c r="H119" s="104">
        <f t="shared" si="5"/>
        <v>0</v>
      </c>
    </row>
    <row r="120" spans="2:8" x14ac:dyDescent="0.3">
      <c r="B120" t="e">
        <f>'Plan Climat_Admin_2030'!#REF!</f>
        <v>#REF!</v>
      </c>
      <c r="G120" s="411">
        <v>0</v>
      </c>
      <c r="H120" s="104">
        <f t="shared" si="5"/>
        <v>0</v>
      </c>
    </row>
    <row r="121" spans="2:8" x14ac:dyDescent="0.3">
      <c r="B121" t="e">
        <f>'Plan Climat_Admin_2030'!#REF!</f>
        <v>#REF!</v>
      </c>
      <c r="G121" s="411" t="e">
        <f>(Sankey_diag!K48+SUM(Admin_graphiques!G110,Admin_graphiques!G111,Admin_graphiques!G114,Admin_graphiques!G118))*Admin_2030!T80*Admin_2030!Z80*-1</f>
        <v>#REF!</v>
      </c>
      <c r="H121" s="104" t="e">
        <f t="shared" si="5"/>
        <v>#REF!</v>
      </c>
    </row>
    <row r="122" spans="2:8" x14ac:dyDescent="0.3">
      <c r="B122" s="4" t="s">
        <v>1152</v>
      </c>
      <c r="G122" s="418" t="e">
        <f>SUM(G109:G121)</f>
        <v>#REF!</v>
      </c>
      <c r="H122" s="104" t="e">
        <f>1-G122/G109</f>
        <v>#REF!</v>
      </c>
    </row>
    <row r="123" spans="2:8" x14ac:dyDescent="0.3">
      <c r="G123" s="167"/>
    </row>
    <row r="125" spans="2:8" x14ac:dyDescent="0.3">
      <c r="G125" s="167"/>
    </row>
  </sheetData>
  <pageMargins left="0.7" right="0.7" top="0.75" bottom="0.75" header="0.3" footer="0.3"/>
  <pageSetup orientation="portrait" horizontalDpi="360" verticalDpi="36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DF723-9696-4797-B8CD-47D78B9E76DE}">
  <sheetPr codeName="Sheet8"/>
  <dimension ref="A2:N37"/>
  <sheetViews>
    <sheetView showGridLines="0" topLeftCell="A16" zoomScale="70" zoomScaleNormal="70" workbookViewId="0">
      <selection activeCell="F4" sqref="F4:F6"/>
    </sheetView>
  </sheetViews>
  <sheetFormatPr baseColWidth="10" defaultColWidth="8.88671875" defaultRowHeight="14.4" x14ac:dyDescent="0.3"/>
  <cols>
    <col min="1" max="1" width="23.109375" customWidth="1"/>
    <col min="2" max="2" width="8" bestFit="1" customWidth="1"/>
    <col min="3" max="3" width="8.5546875" bestFit="1" customWidth="1"/>
    <col min="4" max="4" width="7.44140625" bestFit="1" customWidth="1"/>
    <col min="5" max="5" width="8" bestFit="1" customWidth="1"/>
    <col min="6" max="6" width="8.5546875" bestFit="1" customWidth="1"/>
    <col min="7" max="7" width="7.44140625" bestFit="1" customWidth="1"/>
    <col min="8" max="8" width="68.44140625" customWidth="1"/>
    <col min="9" max="10" width="8.44140625" bestFit="1" customWidth="1"/>
    <col min="11" max="11" width="7.44140625" bestFit="1" customWidth="1"/>
    <col min="12" max="12" width="9.44140625" bestFit="1" customWidth="1"/>
    <col min="13" max="13" width="8.44140625" bestFit="1" customWidth="1"/>
    <col min="14" max="14" width="7" bestFit="1" customWidth="1"/>
  </cols>
  <sheetData>
    <row r="2" spans="1:14" ht="18" x14ac:dyDescent="0.35">
      <c r="A2" s="293" t="s">
        <v>1153</v>
      </c>
      <c r="B2" s="589">
        <v>2024</v>
      </c>
      <c r="C2" s="589"/>
      <c r="D2" s="589"/>
      <c r="E2" s="579">
        <v>2030</v>
      </c>
      <c r="F2" s="579"/>
      <c r="G2" s="579"/>
      <c r="H2" s="294" t="s">
        <v>5</v>
      </c>
      <c r="I2" s="589">
        <v>2024</v>
      </c>
      <c r="J2" s="589"/>
      <c r="K2" s="589"/>
      <c r="L2" s="579">
        <v>2030</v>
      </c>
      <c r="M2" s="579"/>
      <c r="N2" s="579"/>
    </row>
    <row r="3" spans="1:14" ht="18.600000000000001" thickBot="1" x14ac:dyDescent="0.4">
      <c r="A3" s="293" t="s">
        <v>1154</v>
      </c>
      <c r="B3" s="260" t="s">
        <v>1155</v>
      </c>
      <c r="C3" s="260" t="s">
        <v>1156</v>
      </c>
      <c r="D3" s="260" t="s">
        <v>1157</v>
      </c>
      <c r="E3" s="261" t="s">
        <v>1155</v>
      </c>
      <c r="F3" s="261" t="s">
        <v>1156</v>
      </c>
      <c r="G3" s="261" t="s">
        <v>1157</v>
      </c>
      <c r="I3" s="260" t="s">
        <v>1155</v>
      </c>
      <c r="J3" s="260" t="s">
        <v>1156</v>
      </c>
      <c r="K3" s="260" t="s">
        <v>1157</v>
      </c>
      <c r="L3" s="261" t="s">
        <v>1155</v>
      </c>
      <c r="M3" s="261" t="s">
        <v>1156</v>
      </c>
      <c r="N3" s="261" t="s">
        <v>1157</v>
      </c>
    </row>
    <row r="4" spans="1:14" ht="28.8" x14ac:dyDescent="0.3">
      <c r="A4" s="590" t="str">
        <f>'Plan Climat_Admin_2030'!E58</f>
        <v>Réduire les nécessités de déplacements</v>
      </c>
      <c r="B4" s="580">
        <f>SUM(I4:I6)</f>
        <v>76.519428032079347</v>
      </c>
      <c r="C4" s="473">
        <f>B4/Sankey_diag!$H$3</f>
        <v>7.2010581344382152E-2</v>
      </c>
      <c r="D4" s="586">
        <f>B4/Sankey_diag!$H$62</f>
        <v>2.0820595972536035E-2</v>
      </c>
      <c r="E4" s="580" t="e">
        <f>SUM(L4:L6)</f>
        <v>#REF!</v>
      </c>
      <c r="F4" s="473" t="e">
        <f>E4/Sankey_diag!$H$3</f>
        <v>#REF!</v>
      </c>
      <c r="G4" s="586" t="e">
        <f>E4/Sankey_diag!$H$62</f>
        <v>#REF!</v>
      </c>
      <c r="H4" s="262" t="str">
        <f>'Plan Climat_Admin_2030'!H58</f>
        <v>Encourager le télétravail pour limiter les déplacements domicile-travail (norme proposée à 2j/semaine pour les fonctions télétravaillables)</v>
      </c>
      <c r="I4" s="263">
        <f>VLOOKUP(H4,Overview_2024!$E$3:$G$121,3,FALSE)</f>
        <v>75.96246824575455</v>
      </c>
      <c r="J4" s="252">
        <f>I4/Sankey_diag!$H$3</f>
        <v>7.1486439972312868E-2</v>
      </c>
      <c r="K4" s="252">
        <f>I4/Sankey_diag!$H$62</f>
        <v>2.066904969230042E-2</v>
      </c>
      <c r="L4" s="263" t="e">
        <f>VLOOKUP(H4,'Plan Climat_Admin_2030'!$H$2:$I$171,3,FALSE)</f>
        <v>#REF!</v>
      </c>
      <c r="M4" s="252" t="e">
        <f>L4/Sankey_diag!$H$3</f>
        <v>#REF!</v>
      </c>
      <c r="N4" s="264" t="e">
        <f>L4/Sankey_diag!$H$62</f>
        <v>#REF!</v>
      </c>
    </row>
    <row r="5" spans="1:14" ht="28.8" x14ac:dyDescent="0.3">
      <c r="A5" s="591"/>
      <c r="B5" s="581"/>
      <c r="C5" s="471"/>
      <c r="D5" s="541"/>
      <c r="E5" s="581"/>
      <c r="F5" s="471"/>
      <c r="G5" s="541"/>
      <c r="H5" s="169" t="str">
        <f>'Plan Climat_Admin_2030'!H59</f>
        <v>Réduire les kilomètres parcourus dans le cadre du transport des déchets de propreté publique</v>
      </c>
      <c r="I5" s="259">
        <f>VLOOKUP(H5,Overview_2024!$E$3:$G$121,3,FALSE)</f>
        <v>3.8144230769230777E-2</v>
      </c>
      <c r="J5" s="164">
        <f>I5/Sankey_diag!$H$3</f>
        <v>3.5896612184229053E-5</v>
      </c>
      <c r="K5" s="164">
        <f>I5/Sankey_diag!$H$62</f>
        <v>1.0378875508536001E-5</v>
      </c>
      <c r="L5" s="259" t="e">
        <f>VLOOKUP(H5,'Plan Climat_Admin_2030'!$H$2:$I$171,3,FALSE)</f>
        <v>#REF!</v>
      </c>
      <c r="M5" s="164" t="e">
        <f>L5/Sankey_diag!$H$3</f>
        <v>#REF!</v>
      </c>
      <c r="N5" s="265" t="e">
        <f>L5/Sankey_diag!$H$62</f>
        <v>#REF!</v>
      </c>
    </row>
    <row r="6" spans="1:14" ht="29.4" thickBot="1" x14ac:dyDescent="0.35">
      <c r="A6" s="592"/>
      <c r="B6" s="582"/>
      <c r="C6" s="487"/>
      <c r="D6" s="587"/>
      <c r="E6" s="582"/>
      <c r="F6" s="487"/>
      <c r="G6" s="587"/>
      <c r="H6" s="266" t="str">
        <f>'Plan Climat_Admin_2030'!H60</f>
        <v>Organiser des commandes groupées (ex Colruyt) pour limiter les transports par les magasiniers</v>
      </c>
      <c r="I6" s="267">
        <f>VLOOKUP(H6,Overview_2024!$E$3:$G$121,3,FALSE)</f>
        <v>0.51881555555555559</v>
      </c>
      <c r="J6" s="254">
        <f>I6/Sankey_diag!$H$3</f>
        <v>4.8824475988505276E-4</v>
      </c>
      <c r="K6" s="254">
        <f>I6/Sankey_diag!$H$62</f>
        <v>1.4116740472707779E-4</v>
      </c>
      <c r="L6" s="267" t="e">
        <f>VLOOKUP(H6,'Plan Climat_Admin_2030'!$H$2:$I$171,3,FALSE)</f>
        <v>#REF!</v>
      </c>
      <c r="M6" s="254" t="e">
        <f>L6/Sankey_diag!$H$3</f>
        <v>#REF!</v>
      </c>
      <c r="N6" s="268" t="e">
        <f>L6/Sankey_diag!$H$62</f>
        <v>#REF!</v>
      </c>
    </row>
    <row r="7" spans="1:14" ht="43.2" x14ac:dyDescent="0.3">
      <c r="A7" s="593" t="str">
        <f>'Plan Climat_Admin_2030'!E61</f>
        <v>Réduire, diversifier et électrifier le charroi communal</v>
      </c>
      <c r="B7" s="580" t="e">
        <f>SUM(I7:I8)</f>
        <v>#N/A</v>
      </c>
      <c r="C7" s="473" t="e">
        <f>B7/Sankey_diag!$H$3</f>
        <v>#N/A</v>
      </c>
      <c r="D7" s="586" t="e">
        <f>B7/Sankey_diag!$H$62</f>
        <v>#N/A</v>
      </c>
      <c r="E7" s="580" t="e">
        <f>SUM(L7:L8)</f>
        <v>#REF!</v>
      </c>
      <c r="F7" s="473" t="e">
        <f>E7/Sankey_diag!$H$3</f>
        <v>#REF!</v>
      </c>
      <c r="G7" s="586" t="e">
        <f>E7/Sankey_diag!$H$62</f>
        <v>#REF!</v>
      </c>
      <c r="H7" s="262" t="str">
        <f>'Plan Climat_Admin_2030'!H61</f>
        <v>PST 8.2.1. Moderniser le charroi communal (norme Euro 5, achat programmé de véhicules hybrides / électriques,…), favoriser le leasing, et les voitures partagées en vue de répondre à la Low Emission Zone (fin du thermique en 2035 au plus tard</v>
      </c>
      <c r="I7" s="263" t="e">
        <f>VLOOKUP(H7,Overview_2024!$E$3:$G$121,3,FALSE)</f>
        <v>#N/A</v>
      </c>
      <c r="J7" s="252" t="e">
        <f>I7/Sankey_diag!$H$3</f>
        <v>#N/A</v>
      </c>
      <c r="K7" s="252" t="e">
        <f>I7/Sankey_diag!$H$62</f>
        <v>#N/A</v>
      </c>
      <c r="L7" s="263" t="e">
        <f>VLOOKUP(H7,'Plan Climat_Admin_2030'!$H$2:$I$171,3,FALSE)</f>
        <v>#REF!</v>
      </c>
      <c r="M7" s="252" t="e">
        <f>L7/Sankey_diag!$H$3</f>
        <v>#REF!</v>
      </c>
      <c r="N7" s="269" t="e">
        <f>L7/Sankey_diag!$H$62</f>
        <v>#REF!</v>
      </c>
    </row>
    <row r="8" spans="1:14" ht="29.4" thickBot="1" x14ac:dyDescent="0.35">
      <c r="A8" s="594"/>
      <c r="B8" s="583"/>
      <c r="C8" s="488"/>
      <c r="D8" s="588"/>
      <c r="E8" s="583"/>
      <c r="F8" s="488"/>
      <c r="G8" s="588"/>
      <c r="H8" s="270" t="str">
        <f>'Plan Climat_Admin_2030'!H62</f>
        <v>Installer des bornes de recharge électriques couplées à une production d'énergie renouvelable</v>
      </c>
      <c r="I8" s="271">
        <f>VLOOKUP(H8,Overview_2024!$E$3:$G$121,3,FALSE)</f>
        <v>0</v>
      </c>
      <c r="J8" s="255">
        <f>I8/Sankey_diag!$H$3</f>
        <v>0</v>
      </c>
      <c r="K8" s="255">
        <f>I8/Sankey_diag!$H$62</f>
        <v>0</v>
      </c>
      <c r="L8" s="271" t="e">
        <f>VLOOKUP(H8,'Plan Climat_Admin_2030'!$H$2:$I$171,3,FALSE)</f>
        <v>#REF!</v>
      </c>
      <c r="M8" s="255" t="e">
        <f>L8/Sankey_diag!$H$3</f>
        <v>#REF!</v>
      </c>
      <c r="N8" s="272" t="e">
        <f>L8/Sankey_diag!$H$62</f>
        <v>#REF!</v>
      </c>
    </row>
    <row r="9" spans="1:14" x14ac:dyDescent="0.3">
      <c r="A9" s="595" t="str">
        <f>'Plan Climat_Admin_2030'!E69</f>
        <v>Promouvoir la transition modale afin de diminuer l'impact des véhicules thermiques</v>
      </c>
      <c r="B9" s="584" t="e">
        <f>SUM(I9:I19)</f>
        <v>#N/A</v>
      </c>
      <c r="C9" s="474" t="e">
        <f>B9/Sankey_diag!$H$3</f>
        <v>#N/A</v>
      </c>
      <c r="D9" s="598" t="e">
        <f>B9/Sankey_diag!$H$62</f>
        <v>#N/A</v>
      </c>
      <c r="E9" s="584" t="e">
        <f>SUM(L9:L19)</f>
        <v>#REF!</v>
      </c>
      <c r="F9" s="474" t="e">
        <f>E9/Sankey_diag!$H$3</f>
        <v>#REF!</v>
      </c>
      <c r="G9" s="598" t="e">
        <f>E9/Sankey_diag!$H$62</f>
        <v>#REF!</v>
      </c>
      <c r="H9" s="273" t="str">
        <f>'Plan Climat_Admin_2030'!H69</f>
        <v>Réaliser un challenge de mobilité active pour l'ensemble de l'administration</v>
      </c>
      <c r="I9" s="274" t="e">
        <f>VLOOKUP(H9,Overview_2024!$E$3:$G$121,3,FALSE)</f>
        <v>#N/A</v>
      </c>
      <c r="J9" s="253" t="e">
        <f>I9/Sankey_diag!$H$3</f>
        <v>#N/A</v>
      </c>
      <c r="K9" s="253" t="e">
        <f>I9/Sankey_diag!$H$62</f>
        <v>#N/A</v>
      </c>
      <c r="L9" s="274" t="e">
        <f>VLOOKUP(H9,'Plan Climat_Admin_2030'!$H$2:$I$171,3,FALSE)</f>
        <v>#REF!</v>
      </c>
      <c r="M9" s="253" t="e">
        <f>L9/Sankey_diag!$H$3</f>
        <v>#REF!</v>
      </c>
      <c r="N9" s="275" t="e">
        <f>L9/Sankey_diag!$H$62</f>
        <v>#REF!</v>
      </c>
    </row>
    <row r="10" spans="1:14" x14ac:dyDescent="0.3">
      <c r="A10" s="596"/>
      <c r="B10" s="581"/>
      <c r="C10" s="471"/>
      <c r="D10" s="541"/>
      <c r="E10" s="581"/>
      <c r="F10" s="471"/>
      <c r="G10" s="541"/>
      <c r="H10" s="169" t="str">
        <f>'Plan Climat_Admin_2030'!H63</f>
        <v>Mettre en place un système de partage des gros véhicules entre communes</v>
      </c>
      <c r="I10" s="259">
        <f>VLOOKUP(H10,Overview_2024!$E$3:$G$121,3,FALSE)</f>
        <v>0</v>
      </c>
      <c r="J10" s="164">
        <f>I10/Sankey_diag!$H$3</f>
        <v>0</v>
      </c>
      <c r="K10" s="164">
        <f>I10/Sankey_diag!$H$62</f>
        <v>0</v>
      </c>
      <c r="L10" s="259" t="e">
        <f>VLOOKUP(H10,'Plan Climat_Admin_2030'!$H$2:$I$171,3,FALSE)</f>
        <v>#REF!</v>
      </c>
      <c r="M10" s="164" t="e">
        <f>L10/Sankey_diag!$H$3</f>
        <v>#REF!</v>
      </c>
      <c r="N10" s="276" t="e">
        <f>L10/Sankey_diag!$H$62</f>
        <v>#REF!</v>
      </c>
    </row>
    <row r="11" spans="1:14" ht="28.8" x14ac:dyDescent="0.3">
      <c r="A11" s="596"/>
      <c r="B11" s="581"/>
      <c r="C11" s="471"/>
      <c r="D11" s="541"/>
      <c r="E11" s="581"/>
      <c r="F11" s="471"/>
      <c r="G11" s="541"/>
      <c r="H11" s="169" t="str">
        <f>'Plan Climat_Admin_2030'!H70</f>
        <v>Recourir à une distribution du courrier neutre en carbone: coursier vélo, label Bpost</v>
      </c>
      <c r="I11" s="259" t="e">
        <f>VLOOKUP(H11,Overview_2024!$E$3:$G$121,3,FALSE)</f>
        <v>#N/A</v>
      </c>
      <c r="J11" s="164" t="e">
        <f>I11/Sankey_diag!$H$3</f>
        <v>#N/A</v>
      </c>
      <c r="K11" s="164" t="e">
        <f>I11/Sankey_diag!$H$62</f>
        <v>#N/A</v>
      </c>
      <c r="L11" s="259" t="e">
        <f>VLOOKUP(H11,'Plan Climat_Admin_2030'!$H$2:$I$171,3,FALSE)</f>
        <v>#REF!</v>
      </c>
      <c r="M11" s="164" t="e">
        <f>L11/Sankey_diag!$H$3</f>
        <v>#REF!</v>
      </c>
      <c r="N11" s="276" t="e">
        <f>L11/Sankey_diag!$H$62</f>
        <v>#REF!</v>
      </c>
    </row>
    <row r="12" spans="1:14" ht="57.6" x14ac:dyDescent="0.3">
      <c r="A12" s="596"/>
      <c r="B12" s="581"/>
      <c r="C12" s="471"/>
      <c r="D12" s="541"/>
      <c r="E12" s="581"/>
      <c r="F12" s="471"/>
      <c r="G12" s="541"/>
      <c r="H12" s="169" t="str">
        <f>'Plan Climat_Admin_2030'!H71</f>
        <v>Installer des parking vélo sécurisés dans toutes les écoles (profs et élèves) et les bâtiments publics (vélos + trottinettes) avec une mutualisation des places disponibles pour les riverains suivant les possibilités techniques (avec gestion type Parking Brussels)</v>
      </c>
      <c r="I12" s="259" t="e">
        <f>VLOOKUP(H12,Overview_2024!$E$3:$G$121,3,FALSE)</f>
        <v>#VALUE!</v>
      </c>
      <c r="J12" s="164" t="e">
        <f>I12/Sankey_diag!$H$3</f>
        <v>#VALUE!</v>
      </c>
      <c r="K12" s="164" t="e">
        <f>I12/Sankey_diag!$H$62</f>
        <v>#VALUE!</v>
      </c>
      <c r="L12" s="259" t="e">
        <f>VLOOKUP(H12,'Plan Climat_Admin_2030'!$H$2:$I$171,3,FALSE)</f>
        <v>#VALUE!</v>
      </c>
      <c r="M12" s="164" t="e">
        <f>L12/Sankey_diag!$H$3</f>
        <v>#VALUE!</v>
      </c>
      <c r="N12" s="276" t="e">
        <f>L12/Sankey_diag!$H$62</f>
        <v>#VALUE!</v>
      </c>
    </row>
    <row r="13" spans="1:14" ht="43.2" x14ac:dyDescent="0.3">
      <c r="A13" s="596"/>
      <c r="B13" s="581"/>
      <c r="C13" s="471"/>
      <c r="D13" s="541"/>
      <c r="E13" s="581"/>
      <c r="F13" s="471"/>
      <c r="G13" s="541"/>
      <c r="H13" s="169" t="str">
        <f>'Plan Climat_Admin_2030'!H72</f>
        <v>Encourager les rangs piétonier et les rues scolaires là où c’est possible (et les plans de déplacements scolaires si c'est pas une obligation) pour les écoles communales (écoles libres via action territoire)</v>
      </c>
      <c r="I13" s="259" t="e">
        <f>VLOOKUP(H13,Overview_2024!$E$3:$G$121,3,FALSE)</f>
        <v>#N/A</v>
      </c>
      <c r="J13" s="164" t="e">
        <f>I13/Sankey_diag!$H$3</f>
        <v>#N/A</v>
      </c>
      <c r="K13" s="164" t="e">
        <f>I13/Sankey_diag!$H$62</f>
        <v>#N/A</v>
      </c>
      <c r="L13" s="259" t="e">
        <f>VLOOKUP(H13,'Plan Climat_Admin_2030'!$H$2:$I$171,3,FALSE)</f>
        <v>#REF!</v>
      </c>
      <c r="M13" s="164" t="e">
        <f>L13/Sankey_diag!$H$3</f>
        <v>#REF!</v>
      </c>
      <c r="N13" s="276" t="e">
        <f>L13/Sankey_diag!$H$62</f>
        <v>#REF!</v>
      </c>
    </row>
    <row r="14" spans="1:14" ht="28.8" x14ac:dyDescent="0.3">
      <c r="A14" s="596"/>
      <c r="B14" s="581"/>
      <c r="C14" s="471"/>
      <c r="D14" s="541"/>
      <c r="E14" s="581"/>
      <c r="F14" s="471"/>
      <c r="G14" s="541"/>
      <c r="H14" s="169" t="str">
        <f>'Plan Climat_Admin_2030'!H64</f>
        <v>Stimuler l’utilisation de véhicules et vélos partagés et électriques via des campagnes de sensibilisation et des groupes de réflexion</v>
      </c>
      <c r="I14" s="259" t="e">
        <f>VLOOKUP(H14,Overview_2024!$E$3:$G$121,3,FALSE)</f>
        <v>#N/A</v>
      </c>
      <c r="J14" s="164" t="e">
        <f>I14/Sankey_diag!$H$3</f>
        <v>#N/A</v>
      </c>
      <c r="K14" s="164" t="e">
        <f>I14/Sankey_diag!$H$62</f>
        <v>#N/A</v>
      </c>
      <c r="L14" s="259" t="e">
        <f>VLOOKUP(H14,'Plan Climat_Admin_2030'!$H$2:$I$171,3,FALSE)</f>
        <v>#REF!</v>
      </c>
      <c r="M14" s="164" t="e">
        <f>L14/Sankey_diag!$H$3</f>
        <v>#REF!</v>
      </c>
      <c r="N14" s="276" t="e">
        <f>L14/Sankey_diag!$H$62</f>
        <v>#REF!</v>
      </c>
    </row>
    <row r="15" spans="1:14" ht="60" customHeight="1" x14ac:dyDescent="0.3">
      <c r="A15" s="596"/>
      <c r="B15" s="581"/>
      <c r="C15" s="471"/>
      <c r="D15" s="541"/>
      <c r="E15" s="581"/>
      <c r="F15" s="471"/>
      <c r="G15" s="541"/>
      <c r="H15" s="169" t="str">
        <f>'Plan Climat_Admin_2030'!H66</f>
        <v>Insérer systématiquement des clauses environnementales dans les cahiers des charges liés à l’achat de nouveaux véhicules, en fixant des objectifs plus ambitieux que ceux imposés par l’ordonnance « véhicules exemplaires » (&gt; achat)</v>
      </c>
      <c r="I15" s="259">
        <f>VLOOKUP(H15,Overview_2024!$E$3:$G$121,3,FALSE)</f>
        <v>0</v>
      </c>
      <c r="J15" s="164">
        <f>I15/Sankey_diag!$H$3</f>
        <v>0</v>
      </c>
      <c r="K15" s="164">
        <f>I15/Sankey_diag!$H$62</f>
        <v>0</v>
      </c>
      <c r="L15" s="259" t="e">
        <f>VLOOKUP(H15,'Plan Climat_Admin_2030'!$H$2:$I$171,3,FALSE)</f>
        <v>#REF!</v>
      </c>
      <c r="M15" s="164" t="e">
        <f>L15/Sankey_diag!$H$3</f>
        <v>#REF!</v>
      </c>
      <c r="N15" s="276" t="e">
        <f>L15/Sankey_diag!$H$62</f>
        <v>#REF!</v>
      </c>
    </row>
    <row r="16" spans="1:14" ht="28.8" x14ac:dyDescent="0.3">
      <c r="A16" s="596"/>
      <c r="B16" s="581"/>
      <c r="C16" s="471"/>
      <c r="D16" s="541"/>
      <c r="E16" s="581"/>
      <c r="F16" s="471"/>
      <c r="G16" s="541"/>
      <c r="H16" s="169" t="str">
        <f>'Plan Climat_Admin_2030'!H77</f>
        <v xml:space="preserve">Augmenter la part des déplacements professionnels du personnel communal en vélo et en vélo cargo / triporteurs et faire l’acquisition de matériel en ce sens </v>
      </c>
      <c r="I16" s="259">
        <f>VLOOKUP(H16,Overview_2024!$E$3:$G$121,3,FALSE)</f>
        <v>18.0782460327138</v>
      </c>
      <c r="J16" s="164">
        <f>I16/Sankey_diag!$H$3</f>
        <v>1.7012999704555099E-2</v>
      </c>
      <c r="K16" s="164">
        <f>I16/Sankey_diag!$H$62</f>
        <v>4.9190103248215322E-3</v>
      </c>
      <c r="L16" s="259" t="e">
        <f>VLOOKUP(H16,'Plan Climat_Admin_2030'!$H$2:$I$171,3,FALSE)</f>
        <v>#REF!</v>
      </c>
      <c r="M16" s="164" t="e">
        <f>L16/Sankey_diag!$H$3</f>
        <v>#REF!</v>
      </c>
      <c r="N16" s="276" t="e">
        <f>L16/Sankey_diag!$H$62</f>
        <v>#REF!</v>
      </c>
    </row>
    <row r="17" spans="1:14" ht="28.8" x14ac:dyDescent="0.3">
      <c r="A17" s="596"/>
      <c r="B17" s="581"/>
      <c r="C17" s="471"/>
      <c r="D17" s="541"/>
      <c r="E17" s="581"/>
      <c r="F17" s="471"/>
      <c r="G17" s="541"/>
      <c r="H17" s="169" t="str">
        <f>'Plan Climat_Admin_2030'!H67</f>
        <v>Réaliser un plan de rationnalisation du charroi communal dans le but de réduire la flotte de véhicules</v>
      </c>
      <c r="I17" s="259">
        <f>VLOOKUP(H17,Overview_2024!$E$3:$G$121,3,FALSE)</f>
        <v>0</v>
      </c>
      <c r="J17" s="164">
        <f>I17/Sankey_diag!$H$3</f>
        <v>0</v>
      </c>
      <c r="K17" s="164">
        <f>I17/Sankey_diag!$H$62</f>
        <v>0</v>
      </c>
      <c r="L17" s="259" t="e">
        <f>VLOOKUP(H17,'Plan Climat_Admin_2030'!$H$2:$I$171,3,FALSE)</f>
        <v>#REF!</v>
      </c>
      <c r="M17" s="164" t="e">
        <f>L17/Sankey_diag!$H$3</f>
        <v>#REF!</v>
      </c>
      <c r="N17" s="276" t="e">
        <f>L17/Sankey_diag!$H$62</f>
        <v>#REF!</v>
      </c>
    </row>
    <row r="18" spans="1:14" ht="28.8" x14ac:dyDescent="0.3">
      <c r="A18" s="596"/>
      <c r="B18" s="581"/>
      <c r="C18" s="471"/>
      <c r="D18" s="541"/>
      <c r="E18" s="581"/>
      <c r="F18" s="471"/>
      <c r="G18" s="541"/>
      <c r="H18" s="169" t="str">
        <f>'Plan Climat_Admin_2030'!H78</f>
        <v xml:space="preserve">Mettre à disposition des vélos électriques pour les enseignants/ Villo electriques pour les enseignants/crèches. </v>
      </c>
      <c r="I18" s="259" t="e">
        <f>VLOOKUP(H18,Overview_2024!$E$3:$G$121,3,FALSE)</f>
        <v>#N/A</v>
      </c>
      <c r="J18" s="164" t="e">
        <f>I18/Sankey_diag!$H$3</f>
        <v>#N/A</v>
      </c>
      <c r="K18" s="164" t="e">
        <f>I18/Sankey_diag!$H$62</f>
        <v>#N/A</v>
      </c>
      <c r="L18" s="259" t="e">
        <f>VLOOKUP(H18,'Plan Climat_Admin_2030'!$H$2:$I$171,3,FALSE)</f>
        <v>#REF!</v>
      </c>
      <c r="M18" s="164" t="e">
        <f>L18/Sankey_diag!$H$3</f>
        <v>#REF!</v>
      </c>
      <c r="N18" s="276" t="e">
        <f>L18/Sankey_diag!$H$62</f>
        <v>#REF!</v>
      </c>
    </row>
    <row r="19" spans="1:14" ht="29.4" thickBot="1" x14ac:dyDescent="0.35">
      <c r="A19" s="597"/>
      <c r="B19" s="585"/>
      <c r="C19" s="489"/>
      <c r="D19" s="599"/>
      <c r="E19" s="585"/>
      <c r="F19" s="489"/>
      <c r="G19" s="599"/>
      <c r="H19" s="277" t="str">
        <f>'Plan Climat_Admin_2030'!H79</f>
        <v>Stimuler la transition vers un autre mode de transport que la voiture pour les déplacements domicile-travail. (campagne, prime vélo, … )</v>
      </c>
      <c r="I19" s="278"/>
      <c r="J19" s="256"/>
      <c r="K19" s="256"/>
      <c r="L19" s="278"/>
      <c r="M19" s="256"/>
      <c r="N19" s="279"/>
    </row>
    <row r="20" spans="1:14" ht="15" thickBot="1" x14ac:dyDescent="0.35">
      <c r="A20" s="280" t="s">
        <v>1158</v>
      </c>
      <c r="B20" s="281">
        <f>I20</f>
        <v>31.913834653904765</v>
      </c>
      <c r="C20" s="282">
        <f>B20/Sankey_diag!$H$3</f>
        <v>3.00333372250603E-2</v>
      </c>
      <c r="D20" s="282">
        <f>B20/Sankey_diag!$H$62</f>
        <v>8.68361244133589E-3</v>
      </c>
      <c r="E20" s="281">
        <f>L20</f>
        <v>239.35375990428574</v>
      </c>
      <c r="F20" s="282">
        <f>E20/Sankey_diag!$H$3</f>
        <v>0.22525002918795226</v>
      </c>
      <c r="G20" s="282">
        <f>E20/Sankey_diag!$H$62</f>
        <v>6.5127093310019174E-2</v>
      </c>
      <c r="H20" s="283" t="s">
        <v>1159</v>
      </c>
      <c r="I20" s="284">
        <f>C36*Sankey_diag!N3*-1</f>
        <v>31.913834653904765</v>
      </c>
      <c r="J20" s="282">
        <f>I20/Sankey_diag!$H$3</f>
        <v>3.00333372250603E-2</v>
      </c>
      <c r="K20" s="282">
        <f>I20/Sankey_diag!$H$62</f>
        <v>8.68361244133589E-3</v>
      </c>
      <c r="L20" s="281">
        <f>C37*Sankey_diag!$N$3*-1</f>
        <v>239.35375990428574</v>
      </c>
      <c r="M20" s="282">
        <f>L20/Sankey_diag!$H$3</f>
        <v>0.22525002918795226</v>
      </c>
      <c r="N20" s="285">
        <f>L20/Sankey_diag!$H$62</f>
        <v>6.5127093310019174E-2</v>
      </c>
    </row>
    <row r="21" spans="1:14" ht="15" thickBot="1" x14ac:dyDescent="0.35"/>
    <row r="22" spans="1:14" ht="19.2" thickTop="1" thickBot="1" x14ac:dyDescent="0.4">
      <c r="A22" s="286" t="s">
        <v>1160</v>
      </c>
      <c r="B22" s="287" t="e">
        <f>SUM(B4:B20)</f>
        <v>#N/A</v>
      </c>
      <c r="C22" s="288" t="e">
        <f t="shared" ref="C22:G22" si="0">SUM(C4:C20)</f>
        <v>#N/A</v>
      </c>
      <c r="D22" s="288" t="e">
        <f t="shared" si="0"/>
        <v>#N/A</v>
      </c>
      <c r="E22" s="287" t="e">
        <f t="shared" si="0"/>
        <v>#REF!</v>
      </c>
      <c r="F22" s="288" t="e">
        <f t="shared" si="0"/>
        <v>#REF!</v>
      </c>
      <c r="G22" s="288" t="e">
        <f t="shared" si="0"/>
        <v>#REF!</v>
      </c>
      <c r="H22" s="289"/>
      <c r="I22" s="290" t="e">
        <f>SUM(I4:I20)</f>
        <v>#N/A</v>
      </c>
      <c r="J22" s="291" t="e">
        <f t="shared" ref="J22:N22" si="1">SUM(J4:J20)</f>
        <v>#N/A</v>
      </c>
      <c r="K22" s="291" t="e">
        <f t="shared" si="1"/>
        <v>#N/A</v>
      </c>
      <c r="L22" s="290" t="e">
        <f t="shared" si="1"/>
        <v>#REF!</v>
      </c>
      <c r="M22" s="291" t="e">
        <f t="shared" si="1"/>
        <v>#REF!</v>
      </c>
      <c r="N22" s="292" t="e">
        <f t="shared" si="1"/>
        <v>#REF!</v>
      </c>
    </row>
    <row r="23" spans="1:14" ht="15" thickTop="1" x14ac:dyDescent="0.3"/>
    <row r="25" spans="1:14" x14ac:dyDescent="0.3">
      <c r="A25">
        <v>2021</v>
      </c>
      <c r="B25" s="104">
        <f>1/7</f>
        <v>0.14285714285714285</v>
      </c>
      <c r="C25" s="104">
        <f>-55%/9*(A25-$A$25)</f>
        <v>0</v>
      </c>
      <c r="D25" s="104"/>
      <c r="E25" s="104"/>
      <c r="F25" s="104"/>
      <c r="G25" s="104"/>
    </row>
    <row r="26" spans="1:14" x14ac:dyDescent="0.3">
      <c r="A26">
        <v>2022</v>
      </c>
      <c r="B26" s="104">
        <f t="shared" ref="B26:B34" si="2">1/7</f>
        <v>0.14285714285714285</v>
      </c>
      <c r="C26" s="104">
        <f t="shared" ref="C26:C34" si="3">-55%/9*(A26-$A$25)</f>
        <v>-6.1111111111111116E-2</v>
      </c>
      <c r="D26" s="104"/>
      <c r="E26" s="104"/>
      <c r="F26" s="104"/>
      <c r="G26" s="104"/>
    </row>
    <row r="27" spans="1:14" x14ac:dyDescent="0.3">
      <c r="A27">
        <v>2023</v>
      </c>
      <c r="B27" s="104">
        <f t="shared" si="2"/>
        <v>0.14285714285714285</v>
      </c>
      <c r="C27" s="104">
        <f t="shared" si="3"/>
        <v>-0.12222222222222223</v>
      </c>
      <c r="D27" s="104"/>
      <c r="E27" s="104"/>
      <c r="F27" s="104"/>
      <c r="G27" s="104"/>
    </row>
    <row r="28" spans="1:14" x14ac:dyDescent="0.3">
      <c r="A28">
        <v>2024</v>
      </c>
      <c r="B28" s="104">
        <f t="shared" si="2"/>
        <v>0.14285714285714285</v>
      </c>
      <c r="C28" s="104">
        <f t="shared" si="3"/>
        <v>-0.18333333333333335</v>
      </c>
      <c r="D28" s="104"/>
      <c r="E28" s="104"/>
      <c r="F28" s="104"/>
      <c r="G28" s="104"/>
    </row>
    <row r="29" spans="1:14" x14ac:dyDescent="0.3">
      <c r="A29">
        <v>2025</v>
      </c>
      <c r="B29" s="104">
        <f t="shared" si="2"/>
        <v>0.14285714285714285</v>
      </c>
      <c r="C29" s="104">
        <f t="shared" si="3"/>
        <v>-0.24444444444444446</v>
      </c>
      <c r="D29" s="104"/>
      <c r="E29" s="104"/>
      <c r="F29" s="104"/>
      <c r="G29" s="104"/>
    </row>
    <row r="30" spans="1:14" x14ac:dyDescent="0.3">
      <c r="A30">
        <v>2026</v>
      </c>
      <c r="B30" s="104">
        <f t="shared" si="2"/>
        <v>0.14285714285714285</v>
      </c>
      <c r="C30" s="104">
        <f t="shared" si="3"/>
        <v>-0.30555555555555558</v>
      </c>
      <c r="D30" s="104"/>
      <c r="E30" s="104"/>
      <c r="F30" s="104"/>
      <c r="G30" s="104"/>
    </row>
    <row r="31" spans="1:14" x14ac:dyDescent="0.3">
      <c r="A31">
        <v>2027</v>
      </c>
      <c r="B31" s="104">
        <f t="shared" si="2"/>
        <v>0.14285714285714285</v>
      </c>
      <c r="C31" s="104">
        <f t="shared" si="3"/>
        <v>-0.3666666666666667</v>
      </c>
      <c r="D31" s="104"/>
      <c r="E31" s="104"/>
      <c r="F31" s="104"/>
      <c r="G31" s="104"/>
    </row>
    <row r="32" spans="1:14" x14ac:dyDescent="0.3">
      <c r="A32">
        <v>2028</v>
      </c>
      <c r="B32" s="104">
        <f t="shared" si="2"/>
        <v>0.14285714285714285</v>
      </c>
      <c r="C32" s="104">
        <f t="shared" si="3"/>
        <v>-0.42777777777777781</v>
      </c>
      <c r="D32" s="104"/>
      <c r="E32" s="104"/>
      <c r="F32" s="104"/>
      <c r="G32" s="104"/>
    </row>
    <row r="33" spans="1:7" x14ac:dyDescent="0.3">
      <c r="A33">
        <v>2029</v>
      </c>
      <c r="B33" s="104">
        <f t="shared" si="2"/>
        <v>0.14285714285714285</v>
      </c>
      <c r="C33" s="104">
        <f t="shared" si="3"/>
        <v>-0.48888888888888893</v>
      </c>
      <c r="D33" s="104"/>
      <c r="E33" s="104"/>
      <c r="F33" s="104"/>
      <c r="G33" s="104"/>
    </row>
    <row r="34" spans="1:7" x14ac:dyDescent="0.3">
      <c r="A34">
        <v>2030</v>
      </c>
      <c r="B34" s="104">
        <f t="shared" si="2"/>
        <v>0.14285714285714285</v>
      </c>
      <c r="C34" s="104">
        <f t="shared" si="3"/>
        <v>-0.55000000000000004</v>
      </c>
      <c r="D34" s="104"/>
      <c r="E34" s="104"/>
      <c r="F34" s="104"/>
      <c r="G34" s="104"/>
    </row>
    <row r="36" spans="1:7" x14ac:dyDescent="0.3">
      <c r="A36" s="258" t="s">
        <v>1160</v>
      </c>
      <c r="B36">
        <v>2024</v>
      </c>
      <c r="C36" s="104">
        <f>SUMPRODUCT(B25:B28,C25:C28)</f>
        <v>-5.2380952380952382E-2</v>
      </c>
      <c r="D36" s="104"/>
      <c r="E36" s="104"/>
      <c r="F36" s="104"/>
      <c r="G36" s="104"/>
    </row>
    <row r="37" spans="1:7" x14ac:dyDescent="0.3">
      <c r="B37">
        <v>2030</v>
      </c>
      <c r="C37" s="104">
        <f>SUMPRODUCT(B25:B34,C25:C34)</f>
        <v>-0.39285714285714285</v>
      </c>
      <c r="D37" s="104"/>
      <c r="E37" s="104"/>
      <c r="F37" s="104"/>
      <c r="G37" s="104"/>
    </row>
  </sheetData>
  <mergeCells count="25">
    <mergeCell ref="A4:A6"/>
    <mergeCell ref="A7:A8"/>
    <mergeCell ref="A9:A19"/>
    <mergeCell ref="I2:K2"/>
    <mergeCell ref="D9:D19"/>
    <mergeCell ref="E4:E6"/>
    <mergeCell ref="F4:F6"/>
    <mergeCell ref="G4:G6"/>
    <mergeCell ref="G9:G19"/>
    <mergeCell ref="L2:N2"/>
    <mergeCell ref="B4:B6"/>
    <mergeCell ref="B7:B8"/>
    <mergeCell ref="B9:B19"/>
    <mergeCell ref="C4:C6"/>
    <mergeCell ref="D4:D6"/>
    <mergeCell ref="C7:C8"/>
    <mergeCell ref="D7:D8"/>
    <mergeCell ref="C9:C19"/>
    <mergeCell ref="B2:D2"/>
    <mergeCell ref="E2:G2"/>
    <mergeCell ref="E7:E8"/>
    <mergeCell ref="F7:F8"/>
    <mergeCell ref="G7:G8"/>
    <mergeCell ref="E9:E19"/>
    <mergeCell ref="F9:F19"/>
  </mergeCells>
  <conditionalFormatting sqref="D4:D22">
    <cfRule type="dataBar" priority="6">
      <dataBar>
        <cfvo type="min"/>
        <cfvo type="max"/>
        <color rgb="FF005091"/>
      </dataBar>
      <extLst>
        <ext xmlns:x14="http://schemas.microsoft.com/office/spreadsheetml/2009/9/main" uri="{B025F937-C7B1-47D3-B67F-A62EFF666E3E}">
          <x14:id>{E4143E11-833F-4038-9187-EA163356D43A}</x14:id>
        </ext>
      </extLst>
    </cfRule>
  </conditionalFormatting>
  <conditionalFormatting sqref="G4:G22">
    <cfRule type="dataBar" priority="3">
      <dataBar>
        <cfvo type="min"/>
        <cfvo type="max"/>
        <color rgb="FF019CDB"/>
      </dataBar>
      <extLst>
        <ext xmlns:x14="http://schemas.microsoft.com/office/spreadsheetml/2009/9/main" uri="{B025F937-C7B1-47D3-B67F-A62EFF666E3E}">
          <x14:id>{D0559FB2-1051-40E2-A1CC-0065446B1473}</x14:id>
        </ext>
      </extLst>
    </cfRule>
  </conditionalFormatting>
  <conditionalFormatting sqref="K4:K22">
    <cfRule type="dataBar" priority="2">
      <dataBar>
        <cfvo type="min"/>
        <cfvo type="max"/>
        <color rgb="FF005091"/>
      </dataBar>
      <extLst>
        <ext xmlns:x14="http://schemas.microsoft.com/office/spreadsheetml/2009/9/main" uri="{B025F937-C7B1-47D3-B67F-A62EFF666E3E}">
          <x14:id>{10919614-26E3-40B0-841E-320FCAC4B893}</x14:id>
        </ext>
      </extLst>
    </cfRule>
  </conditionalFormatting>
  <conditionalFormatting sqref="N4:N22">
    <cfRule type="dataBar" priority="1">
      <dataBar>
        <cfvo type="min"/>
        <cfvo type="max"/>
        <color rgb="FF019CDB"/>
      </dataBar>
      <extLst>
        <ext xmlns:x14="http://schemas.microsoft.com/office/spreadsheetml/2009/9/main" uri="{B025F937-C7B1-47D3-B67F-A62EFF666E3E}">
          <x14:id>{E3B46143-5A40-486E-B5EA-CF361089B4EF}</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E4143E11-833F-4038-9187-EA163356D43A}">
            <x14:dataBar minLength="0" maxLength="100" gradient="0">
              <x14:cfvo type="autoMin"/>
              <x14:cfvo type="autoMax"/>
              <x14:negativeFillColor rgb="FFFF0000"/>
              <x14:axisColor rgb="FF000000"/>
            </x14:dataBar>
          </x14:cfRule>
          <xm:sqref>D4:D22</xm:sqref>
        </x14:conditionalFormatting>
        <x14:conditionalFormatting xmlns:xm="http://schemas.microsoft.com/office/excel/2006/main">
          <x14:cfRule type="dataBar" id="{D0559FB2-1051-40E2-A1CC-0065446B1473}">
            <x14:dataBar minLength="0" maxLength="100" gradient="0">
              <x14:cfvo type="autoMin"/>
              <x14:cfvo type="autoMax"/>
              <x14:negativeFillColor rgb="FFFF0000"/>
              <x14:axisColor rgb="FF000000"/>
            </x14:dataBar>
          </x14:cfRule>
          <xm:sqref>G4:G22</xm:sqref>
        </x14:conditionalFormatting>
        <x14:conditionalFormatting xmlns:xm="http://schemas.microsoft.com/office/excel/2006/main">
          <x14:cfRule type="dataBar" id="{10919614-26E3-40B0-841E-320FCAC4B893}">
            <x14:dataBar minLength="0" maxLength="100" gradient="0">
              <x14:cfvo type="autoMin"/>
              <x14:cfvo type="autoMax"/>
              <x14:negativeFillColor rgb="FFFF0000"/>
              <x14:axisColor rgb="FF000000"/>
            </x14:dataBar>
          </x14:cfRule>
          <xm:sqref>K4:K22</xm:sqref>
        </x14:conditionalFormatting>
        <x14:conditionalFormatting xmlns:xm="http://schemas.microsoft.com/office/excel/2006/main">
          <x14:cfRule type="dataBar" id="{E3B46143-5A40-486E-B5EA-CF361089B4EF}">
            <x14:dataBar minLength="0" maxLength="100" gradient="0">
              <x14:cfvo type="autoMin"/>
              <x14:cfvo type="autoMax"/>
              <x14:negativeFillColor rgb="FFFF0000"/>
              <x14:axisColor rgb="FF000000"/>
            </x14:dataBar>
          </x14:cfRule>
          <xm:sqref>N4:N22</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7D25F-977D-469C-847D-3486D3E11824}">
  <sheetPr codeName="Sheet12">
    <tabColor theme="9" tint="0.39997558519241921"/>
  </sheetPr>
  <dimension ref="A2:AC238"/>
  <sheetViews>
    <sheetView topLeftCell="A97" zoomScale="70" zoomScaleNormal="70" zoomScaleSheetLayoutView="130" workbookViewId="0">
      <selection activeCell="F35" sqref="F35"/>
    </sheetView>
  </sheetViews>
  <sheetFormatPr baseColWidth="10" defaultColWidth="8.88671875" defaultRowHeight="14.4" x14ac:dyDescent="0.3"/>
  <cols>
    <col min="1" max="1" width="7.5546875" customWidth="1"/>
    <col min="2" max="2" width="38.44140625" customWidth="1"/>
    <col min="3" max="3" width="7.88671875" customWidth="1"/>
    <col min="4" max="4" width="12.109375" customWidth="1"/>
    <col min="5" max="5" width="10.44140625" customWidth="1"/>
    <col min="6" max="6" width="6" customWidth="1"/>
    <col min="7" max="7" width="66.44140625" customWidth="1"/>
    <col min="8" max="8" width="10.88671875" customWidth="1"/>
    <col min="9" max="9" width="10.44140625" customWidth="1"/>
    <col min="10" max="10" width="8" bestFit="1" customWidth="1"/>
    <col min="11" max="11" width="10.44140625" customWidth="1"/>
    <col min="12" max="12" width="12.44140625" customWidth="1"/>
    <col min="13" max="13" width="11.5546875" customWidth="1"/>
    <col min="14" max="14" width="8.44140625" customWidth="1"/>
    <col min="16" max="16" width="15" bestFit="1" customWidth="1"/>
    <col min="17" max="17" width="14.88671875" customWidth="1"/>
    <col min="18" max="18" width="14.44140625" bestFit="1" customWidth="1"/>
    <col min="19" max="19" width="15.44140625" bestFit="1" customWidth="1"/>
    <col min="20" max="23" width="13.44140625" customWidth="1"/>
    <col min="24" max="24" width="14.44140625" bestFit="1" customWidth="1"/>
    <col min="25" max="25" width="15.44140625" bestFit="1" customWidth="1"/>
    <col min="26" max="27" width="15.44140625" customWidth="1"/>
    <col min="28" max="28" width="11.5546875" customWidth="1"/>
  </cols>
  <sheetData>
    <row r="2" spans="1:29" ht="28.8" x14ac:dyDescent="0.3">
      <c r="A2" s="1" t="s">
        <v>0</v>
      </c>
      <c r="B2" s="1" t="s">
        <v>1</v>
      </c>
      <c r="C2" s="1" t="s">
        <v>2</v>
      </c>
      <c r="D2" s="1" t="s">
        <v>1161</v>
      </c>
      <c r="E2" s="1" t="s">
        <v>1162</v>
      </c>
      <c r="F2" s="1" t="s">
        <v>1163</v>
      </c>
      <c r="G2" s="1" t="s">
        <v>5</v>
      </c>
      <c r="H2" s="1" t="s">
        <v>8</v>
      </c>
      <c r="I2" s="1" t="s">
        <v>9</v>
      </c>
      <c r="J2" s="2" t="s">
        <v>10</v>
      </c>
      <c r="K2" s="2" t="s">
        <v>11</v>
      </c>
      <c r="L2" s="2" t="s">
        <v>12</v>
      </c>
      <c r="M2" s="2" t="s">
        <v>13</v>
      </c>
      <c r="N2" s="2" t="s">
        <v>14</v>
      </c>
      <c r="O2" s="2" t="s">
        <v>15</v>
      </c>
      <c r="P2" s="2" t="s">
        <v>17</v>
      </c>
      <c r="Q2" s="3" t="s">
        <v>18</v>
      </c>
      <c r="R2" s="3" t="s">
        <v>19</v>
      </c>
      <c r="S2" s="5" t="s">
        <v>20</v>
      </c>
      <c r="T2" s="3" t="s">
        <v>21</v>
      </c>
      <c r="U2" s="146" t="s">
        <v>22</v>
      </c>
      <c r="V2" s="146" t="s">
        <v>23</v>
      </c>
      <c r="W2" s="146" t="s">
        <v>24</v>
      </c>
      <c r="X2" s="147" t="s">
        <v>25</v>
      </c>
      <c r="Y2" s="148" t="s">
        <v>26</v>
      </c>
      <c r="Z2" s="148" t="s">
        <v>27</v>
      </c>
      <c r="AA2" s="149" t="s">
        <v>28</v>
      </c>
      <c r="AB2" s="100" t="s">
        <v>31</v>
      </c>
      <c r="AC2" s="100" t="s">
        <v>32</v>
      </c>
    </row>
    <row r="3" spans="1:29" x14ac:dyDescent="0.3">
      <c r="A3" t="s">
        <v>1164</v>
      </c>
      <c r="B3" t="s">
        <v>208</v>
      </c>
      <c r="C3" t="s">
        <v>1165</v>
      </c>
      <c r="D3" t="s">
        <v>1166</v>
      </c>
      <c r="G3" t="s">
        <v>1167</v>
      </c>
      <c r="I3" t="s">
        <v>41</v>
      </c>
      <c r="J3">
        <v>3</v>
      </c>
      <c r="K3" t="s">
        <v>44</v>
      </c>
      <c r="L3" t="s">
        <v>43</v>
      </c>
      <c r="M3" t="s">
        <v>43</v>
      </c>
      <c r="N3" t="s">
        <v>1168</v>
      </c>
      <c r="O3" t="s">
        <v>87</v>
      </c>
      <c r="Q3" t="s">
        <v>1169</v>
      </c>
      <c r="R3" s="153">
        <v>5</v>
      </c>
      <c r="S3" s="153">
        <v>0</v>
      </c>
      <c r="U3" s="150" t="e">
        <f>#REF!+#REF!</f>
        <v>#REF!</v>
      </c>
      <c r="V3" s="105" cm="1">
        <f t="array" aca="1" ref="V3" ca="1">IF(W3="",U3,_xlfn.XLOOKUP(W3,$W2:W$3,$AA2:AA$3,U3,0,-1))</f>
        <v>0</v>
      </c>
      <c r="W3">
        <v>1</v>
      </c>
      <c r="X3" s="151">
        <v>0.02</v>
      </c>
      <c r="Y3" s="105" t="e">
        <f t="shared" ref="Y3:Y34" si="0">(R3-S3)*X3*U3</f>
        <v>#REF!</v>
      </c>
      <c r="Z3" s="105">
        <f t="shared" ref="Z3:Z34" ca="1" si="1">(R3-S3)*X3*V3</f>
        <v>0</v>
      </c>
      <c r="AA3" s="105">
        <f t="shared" ref="AA3:AA34" ca="1" si="2">V3-Z3</f>
        <v>0</v>
      </c>
    </row>
    <row r="4" spans="1:29" x14ac:dyDescent="0.3">
      <c r="A4" t="s">
        <v>1170</v>
      </c>
      <c r="B4" t="s">
        <v>208</v>
      </c>
      <c r="C4" t="s">
        <v>1165</v>
      </c>
      <c r="D4" t="s">
        <v>1166</v>
      </c>
      <c r="G4" t="s">
        <v>1171</v>
      </c>
      <c r="I4" t="s">
        <v>41</v>
      </c>
      <c r="J4">
        <v>2</v>
      </c>
      <c r="K4" t="s">
        <v>86</v>
      </c>
      <c r="L4" t="s">
        <v>44</v>
      </c>
      <c r="M4" t="s">
        <v>44</v>
      </c>
      <c r="O4" t="s">
        <v>157</v>
      </c>
      <c r="U4">
        <f>(352257*0.202/1000)</f>
        <v>71.15591400000001</v>
      </c>
      <c r="V4" cm="1">
        <f t="array" ref="V4">IF(W4="",U4,_xlfn.XLOOKUP(W4,$W$3:W3,$AA$3:AA3,U4,0,-1))</f>
        <v>71.15591400000001</v>
      </c>
      <c r="Y4">
        <f t="shared" si="0"/>
        <v>0</v>
      </c>
      <c r="Z4">
        <f t="shared" si="1"/>
        <v>0</v>
      </c>
      <c r="AA4">
        <f t="shared" si="2"/>
        <v>71.15591400000001</v>
      </c>
    </row>
    <row r="5" spans="1:29" x14ac:dyDescent="0.3">
      <c r="A5" t="s">
        <v>1172</v>
      </c>
      <c r="B5" t="s">
        <v>208</v>
      </c>
      <c r="C5" t="s">
        <v>1165</v>
      </c>
      <c r="D5" t="s">
        <v>1166</v>
      </c>
      <c r="G5" t="s">
        <v>1173</v>
      </c>
      <c r="I5" t="s">
        <v>41</v>
      </c>
      <c r="J5">
        <v>1</v>
      </c>
      <c r="K5" t="s">
        <v>44</v>
      </c>
      <c r="O5" t="s">
        <v>87</v>
      </c>
      <c r="Q5" t="s">
        <v>1174</v>
      </c>
      <c r="R5" s="152">
        <v>0.25</v>
      </c>
      <c r="S5" s="153">
        <v>0</v>
      </c>
      <c r="U5" s="150" t="e">
        <f>#REF!+#REF!</f>
        <v>#REF!</v>
      </c>
      <c r="V5" s="105" t="e" cm="1">
        <f t="array" ref="V5">IF(W5="",U5,_xlfn.XLOOKUP(W5,$W$3:W4,$AA$3:AA4,U5,0,-1))</f>
        <v>#REF!</v>
      </c>
      <c r="X5" s="151">
        <v>0.9</v>
      </c>
      <c r="Y5" s="105" t="e">
        <f t="shared" si="0"/>
        <v>#REF!</v>
      </c>
      <c r="Z5" s="105" t="e">
        <f t="shared" si="1"/>
        <v>#REF!</v>
      </c>
      <c r="AA5" s="105" t="e">
        <f t="shared" si="2"/>
        <v>#REF!</v>
      </c>
    </row>
    <row r="6" spans="1:29" x14ac:dyDescent="0.3">
      <c r="A6" t="s">
        <v>1175</v>
      </c>
      <c r="B6" t="s">
        <v>208</v>
      </c>
      <c r="C6" t="s">
        <v>1165</v>
      </c>
      <c r="D6" t="s">
        <v>1166</v>
      </c>
      <c r="G6" t="s">
        <v>1176</v>
      </c>
      <c r="I6" t="s">
        <v>41</v>
      </c>
      <c r="J6">
        <v>2</v>
      </c>
      <c r="K6" t="s">
        <v>42</v>
      </c>
      <c r="L6" t="s">
        <v>43</v>
      </c>
      <c r="M6" t="s">
        <v>43</v>
      </c>
      <c r="N6" t="s">
        <v>1177</v>
      </c>
      <c r="O6" t="s">
        <v>157</v>
      </c>
      <c r="U6">
        <v>0</v>
      </c>
      <c r="V6" cm="1">
        <f t="array" ref="V6">IF(W6="",U6,_xlfn.XLOOKUP(W6,$W$3:W5,$AA$3:AA5,U6,0,-1))</f>
        <v>0</v>
      </c>
      <c r="Y6">
        <f t="shared" si="0"/>
        <v>0</v>
      </c>
      <c r="Z6">
        <f t="shared" si="1"/>
        <v>0</v>
      </c>
      <c r="AA6">
        <f t="shared" si="2"/>
        <v>0</v>
      </c>
    </row>
    <row r="7" spans="1:29" x14ac:dyDescent="0.3">
      <c r="A7" t="s">
        <v>1178</v>
      </c>
      <c r="B7" t="s">
        <v>208</v>
      </c>
      <c r="C7" t="s">
        <v>1165</v>
      </c>
      <c r="D7" t="s">
        <v>1166</v>
      </c>
      <c r="G7" t="s">
        <v>1179</v>
      </c>
      <c r="H7" t="s">
        <v>429</v>
      </c>
      <c r="I7" t="s">
        <v>41</v>
      </c>
      <c r="J7">
        <v>0</v>
      </c>
      <c r="K7" t="s">
        <v>53</v>
      </c>
      <c r="L7" t="s">
        <v>44</v>
      </c>
      <c r="M7" t="s">
        <v>44</v>
      </c>
      <c r="N7" t="s">
        <v>1180</v>
      </c>
      <c r="O7" t="s">
        <v>45</v>
      </c>
      <c r="Q7" t="s">
        <v>1181</v>
      </c>
      <c r="R7" s="153">
        <v>5</v>
      </c>
      <c r="S7" s="153">
        <v>0</v>
      </c>
      <c r="U7" s="150" t="e">
        <f>((#REF!+#REF!+#REF!)*#REF!)+(#REF!+#REF!)</f>
        <v>#REF!</v>
      </c>
      <c r="V7" s="105" t="e" cm="1">
        <f t="array" ref="V7">IF(W7="",U7,_xlfn.XLOOKUP(W7,$W$3:W6,$AA$3:AA6,U7,0,-1))</f>
        <v>#REF!</v>
      </c>
      <c r="X7" s="151">
        <v>0.02</v>
      </c>
      <c r="Y7" s="105" t="e">
        <f t="shared" si="0"/>
        <v>#REF!</v>
      </c>
      <c r="Z7" s="105" t="e">
        <f t="shared" si="1"/>
        <v>#REF!</v>
      </c>
      <c r="AA7" s="105" t="e">
        <f t="shared" si="2"/>
        <v>#REF!</v>
      </c>
      <c r="AB7" t="s">
        <v>1182</v>
      </c>
      <c r="AC7" t="s">
        <v>484</v>
      </c>
    </row>
    <row r="8" spans="1:29" x14ac:dyDescent="0.3">
      <c r="A8" t="s">
        <v>1183</v>
      </c>
      <c r="B8" t="s">
        <v>208</v>
      </c>
      <c r="C8" t="s">
        <v>1165</v>
      </c>
      <c r="D8" t="s">
        <v>1166</v>
      </c>
      <c r="G8" t="s">
        <v>1184</v>
      </c>
      <c r="I8" t="s">
        <v>41</v>
      </c>
      <c r="J8">
        <v>0</v>
      </c>
      <c r="K8" t="s">
        <v>42</v>
      </c>
      <c r="O8" t="s">
        <v>87</v>
      </c>
      <c r="Q8" t="s">
        <v>1185</v>
      </c>
      <c r="R8" s="152">
        <v>0.3</v>
      </c>
      <c r="S8" s="153">
        <v>0</v>
      </c>
      <c r="U8" s="150" t="e">
        <f>(#REF!+#REF!+#REF!)+(#REF!+#REF!+#REF!)</f>
        <v>#REF!</v>
      </c>
      <c r="V8" s="105" t="e" cm="1">
        <f t="array" ref="V8">IF(W8="",U8,_xlfn.XLOOKUP(W8,$W$3:W7,$AA$3:AA7,U8,0,-1))</f>
        <v>#REF!</v>
      </c>
      <c r="X8" s="151">
        <v>0.5</v>
      </c>
      <c r="Y8" s="105" t="e">
        <f t="shared" si="0"/>
        <v>#REF!</v>
      </c>
      <c r="Z8" s="105" t="e">
        <f t="shared" si="1"/>
        <v>#REF!</v>
      </c>
      <c r="AA8" s="105" t="e">
        <f t="shared" si="2"/>
        <v>#REF!</v>
      </c>
    </row>
    <row r="9" spans="1:29" x14ac:dyDescent="0.3">
      <c r="A9" t="s">
        <v>1186</v>
      </c>
      <c r="B9" t="s">
        <v>99</v>
      </c>
      <c r="C9" t="s">
        <v>1165</v>
      </c>
      <c r="D9" t="s">
        <v>1166</v>
      </c>
      <c r="G9" t="s">
        <v>1187</v>
      </c>
      <c r="H9" t="s">
        <v>1188</v>
      </c>
      <c r="I9" t="s">
        <v>41</v>
      </c>
      <c r="J9">
        <v>1</v>
      </c>
      <c r="K9" t="s">
        <v>86</v>
      </c>
      <c r="L9" t="s">
        <v>43</v>
      </c>
      <c r="M9" t="s">
        <v>43</v>
      </c>
      <c r="N9" t="s">
        <v>554</v>
      </c>
      <c r="O9" t="s">
        <v>45</v>
      </c>
      <c r="V9" cm="1">
        <f t="array" ref="V9">IF(W9="",U9,_xlfn.XLOOKUP(W9,$W$3:W8,$AA$3:AA8,U9,0,-1))</f>
        <v>0</v>
      </c>
      <c r="Y9">
        <f t="shared" si="0"/>
        <v>0</v>
      </c>
      <c r="Z9">
        <f t="shared" si="1"/>
        <v>0</v>
      </c>
      <c r="AA9">
        <f t="shared" si="2"/>
        <v>0</v>
      </c>
      <c r="AB9" t="s">
        <v>77</v>
      </c>
      <c r="AC9" t="s">
        <v>1189</v>
      </c>
    </row>
    <row r="10" spans="1:29" x14ac:dyDescent="0.3">
      <c r="A10" t="s">
        <v>1190</v>
      </c>
      <c r="B10" t="s">
        <v>208</v>
      </c>
      <c r="C10" t="s">
        <v>1165</v>
      </c>
      <c r="D10" t="s">
        <v>1166</v>
      </c>
      <c r="G10" t="s">
        <v>1191</v>
      </c>
      <c r="I10" t="s">
        <v>41</v>
      </c>
      <c r="J10">
        <v>0</v>
      </c>
      <c r="K10" t="s">
        <v>53</v>
      </c>
      <c r="L10" t="s">
        <v>44</v>
      </c>
      <c r="M10" t="s">
        <v>44</v>
      </c>
      <c r="N10" t="s">
        <v>1168</v>
      </c>
      <c r="O10" t="s">
        <v>45</v>
      </c>
      <c r="Q10" t="s">
        <v>1192</v>
      </c>
      <c r="R10" s="152">
        <v>0.9</v>
      </c>
      <c r="S10" s="152">
        <v>0</v>
      </c>
      <c r="U10" s="156" t="e">
        <f>#REF!</f>
        <v>#REF!</v>
      </c>
      <c r="V10" s="105" t="e" cm="1">
        <f t="array" ref="V10">IF(W10="",U10,_xlfn.XLOOKUP(W10,$W$3:W9,$AA$3:AA9,U10,0,-1))</f>
        <v>#REF!</v>
      </c>
      <c r="W10">
        <v>2</v>
      </c>
      <c r="X10" s="151">
        <v>0.02</v>
      </c>
      <c r="Y10" s="105" t="e">
        <f t="shared" si="0"/>
        <v>#REF!</v>
      </c>
      <c r="Z10" s="105" t="e">
        <f t="shared" si="1"/>
        <v>#REF!</v>
      </c>
      <c r="AA10" s="105" t="e">
        <f t="shared" si="2"/>
        <v>#REF!</v>
      </c>
      <c r="AB10" t="s">
        <v>1182</v>
      </c>
      <c r="AC10" t="s">
        <v>484</v>
      </c>
    </row>
    <row r="11" spans="1:29" x14ac:dyDescent="0.3">
      <c r="A11" t="s">
        <v>1193</v>
      </c>
      <c r="B11" t="s">
        <v>99</v>
      </c>
      <c r="C11" t="s">
        <v>1165</v>
      </c>
      <c r="D11" t="s">
        <v>1166</v>
      </c>
      <c r="G11" t="s">
        <v>1194</v>
      </c>
      <c r="I11" t="s">
        <v>41</v>
      </c>
      <c r="J11">
        <v>2</v>
      </c>
      <c r="K11" t="s">
        <v>86</v>
      </c>
      <c r="L11" t="s">
        <v>43</v>
      </c>
      <c r="M11" t="s">
        <v>43</v>
      </c>
      <c r="O11" t="s">
        <v>119</v>
      </c>
      <c r="V11" cm="1">
        <f t="array" ref="V11">IF(W11="",U11,_xlfn.XLOOKUP(W11,$W$3:W10,$AA$3:AA10,U11,0,-1))</f>
        <v>0</v>
      </c>
      <c r="Y11">
        <f t="shared" si="0"/>
        <v>0</v>
      </c>
      <c r="Z11">
        <f t="shared" si="1"/>
        <v>0</v>
      </c>
      <c r="AA11">
        <f t="shared" si="2"/>
        <v>0</v>
      </c>
      <c r="AB11" t="s">
        <v>1195</v>
      </c>
    </row>
    <row r="12" spans="1:29" x14ac:dyDescent="0.3">
      <c r="A12" t="s">
        <v>1196</v>
      </c>
      <c r="B12" t="s">
        <v>208</v>
      </c>
      <c r="C12" t="s">
        <v>1165</v>
      </c>
      <c r="D12" t="s">
        <v>1166</v>
      </c>
      <c r="G12" t="s">
        <v>1197</v>
      </c>
      <c r="I12" t="s">
        <v>41</v>
      </c>
      <c r="J12">
        <v>3</v>
      </c>
      <c r="K12" t="s">
        <v>53</v>
      </c>
      <c r="L12" t="s">
        <v>44</v>
      </c>
      <c r="M12" t="s">
        <v>44</v>
      </c>
      <c r="N12" t="s">
        <v>1180</v>
      </c>
      <c r="O12" t="s">
        <v>45</v>
      </c>
      <c r="Q12" t="s">
        <v>1192</v>
      </c>
      <c r="R12" s="152">
        <v>0.9</v>
      </c>
      <c r="S12" s="152">
        <v>0</v>
      </c>
      <c r="U12" s="150" t="e">
        <f>#REF!+#REF!</f>
        <v>#REF!</v>
      </c>
      <c r="V12" s="105" t="e" cm="1">
        <f t="array" ref="V12">IF(W12="",U12,_xlfn.XLOOKUP(W12,$W$3:W11,$AA$3:AA11,U12,0,-1))</f>
        <v>#REF!</v>
      </c>
      <c r="W12">
        <v>3</v>
      </c>
      <c r="X12" s="151">
        <v>0.02</v>
      </c>
      <c r="Y12" s="105" t="e">
        <f t="shared" si="0"/>
        <v>#REF!</v>
      </c>
      <c r="Z12" s="105" t="e">
        <f t="shared" si="1"/>
        <v>#REF!</v>
      </c>
      <c r="AA12" s="105" t="e">
        <f t="shared" si="2"/>
        <v>#REF!</v>
      </c>
      <c r="AB12" t="s">
        <v>1182</v>
      </c>
      <c r="AC12" t="s">
        <v>484</v>
      </c>
    </row>
    <row r="13" spans="1:29" x14ac:dyDescent="0.3">
      <c r="A13" t="s">
        <v>1198</v>
      </c>
      <c r="B13" t="s">
        <v>208</v>
      </c>
      <c r="C13" t="s">
        <v>1165</v>
      </c>
      <c r="D13" t="s">
        <v>1166</v>
      </c>
      <c r="G13" t="s">
        <v>1199</v>
      </c>
      <c r="H13" t="s">
        <v>1200</v>
      </c>
      <c r="I13" t="s">
        <v>41</v>
      </c>
      <c r="O13" t="s">
        <v>157</v>
      </c>
      <c r="V13" cm="1">
        <f t="array" ref="V13">IF(W13="",U13,_xlfn.XLOOKUP(W13,$W$3:W12,$AA$3:AA12,U13,0,-1))</f>
        <v>0</v>
      </c>
      <c r="Y13">
        <f t="shared" si="0"/>
        <v>0</v>
      </c>
      <c r="Z13">
        <f t="shared" si="1"/>
        <v>0</v>
      </c>
      <c r="AA13">
        <f t="shared" si="2"/>
        <v>0</v>
      </c>
    </row>
    <row r="14" spans="1:29" x14ac:dyDescent="0.3">
      <c r="A14" t="s">
        <v>1201</v>
      </c>
      <c r="B14" t="s">
        <v>208</v>
      </c>
      <c r="C14" t="s">
        <v>1165</v>
      </c>
      <c r="D14" t="s">
        <v>1166</v>
      </c>
      <c r="G14" t="s">
        <v>1202</v>
      </c>
      <c r="H14" t="s">
        <v>1203</v>
      </c>
      <c r="I14" t="s">
        <v>41</v>
      </c>
      <c r="K14" t="s">
        <v>53</v>
      </c>
      <c r="L14" t="s">
        <v>44</v>
      </c>
      <c r="M14" t="s">
        <v>44</v>
      </c>
      <c r="N14" t="s">
        <v>1180</v>
      </c>
      <c r="O14" t="s">
        <v>45</v>
      </c>
      <c r="Q14" t="s">
        <v>1192</v>
      </c>
      <c r="R14" s="152">
        <v>0.9</v>
      </c>
      <c r="S14" s="152">
        <v>0</v>
      </c>
      <c r="U14" s="150" t="e">
        <f>(#REF!+#REF!)*(#REF!+#REF!)</f>
        <v>#REF!</v>
      </c>
      <c r="V14" s="105" t="e" cm="1">
        <f t="array" ref="V14">IF(W14="",U14,_xlfn.XLOOKUP(W14,$W$3:W13,$AA$3:AA13,U14,0,-1))</f>
        <v>#REF!</v>
      </c>
      <c r="W14">
        <v>3</v>
      </c>
      <c r="X14" s="151">
        <v>0.02</v>
      </c>
      <c r="Y14" s="105" t="e">
        <f t="shared" si="0"/>
        <v>#REF!</v>
      </c>
      <c r="Z14" s="105" t="e">
        <f t="shared" si="1"/>
        <v>#REF!</v>
      </c>
      <c r="AA14" s="105" t="e">
        <f t="shared" si="2"/>
        <v>#REF!</v>
      </c>
      <c r="AB14" t="s">
        <v>1182</v>
      </c>
      <c r="AC14" t="s">
        <v>484</v>
      </c>
    </row>
    <row r="15" spans="1:29" x14ac:dyDescent="0.3">
      <c r="A15" t="s">
        <v>1204</v>
      </c>
      <c r="B15" t="s">
        <v>208</v>
      </c>
      <c r="C15" t="s">
        <v>1165</v>
      </c>
      <c r="D15" t="s">
        <v>1166</v>
      </c>
      <c r="G15" t="s">
        <v>1205</v>
      </c>
      <c r="H15" t="s">
        <v>1203</v>
      </c>
      <c r="I15" t="s">
        <v>41</v>
      </c>
      <c r="K15" t="s">
        <v>53</v>
      </c>
      <c r="L15" t="s">
        <v>44</v>
      </c>
      <c r="M15" t="s">
        <v>44</v>
      </c>
      <c r="O15" t="s">
        <v>45</v>
      </c>
      <c r="Q15" t="s">
        <v>1192</v>
      </c>
      <c r="R15" s="152">
        <v>0.9</v>
      </c>
      <c r="S15" s="152">
        <v>0</v>
      </c>
      <c r="U15" s="150" t="e">
        <f>(#REF!+#REF!)*#REF!</f>
        <v>#REF!</v>
      </c>
      <c r="V15" s="105" t="e" cm="1">
        <f t="array" ref="V15">IF(W15="",U15,_xlfn.XLOOKUP(W15,$W$3:W14,$AA$3:AA14,U15,0,-1))</f>
        <v>#REF!</v>
      </c>
      <c r="W15">
        <v>3</v>
      </c>
      <c r="X15" s="151">
        <v>0.02</v>
      </c>
      <c r="Y15" s="105" t="e">
        <f t="shared" si="0"/>
        <v>#REF!</v>
      </c>
      <c r="Z15" s="105" t="e">
        <f t="shared" si="1"/>
        <v>#REF!</v>
      </c>
      <c r="AA15" s="105" t="e">
        <f t="shared" si="2"/>
        <v>#REF!</v>
      </c>
      <c r="AB15" t="s">
        <v>1182</v>
      </c>
      <c r="AC15" t="s">
        <v>484</v>
      </c>
    </row>
    <row r="16" spans="1:29" x14ac:dyDescent="0.3">
      <c r="A16" t="s">
        <v>1206</v>
      </c>
      <c r="B16" t="s">
        <v>208</v>
      </c>
      <c r="C16" t="s">
        <v>1165</v>
      </c>
      <c r="D16" t="s">
        <v>1166</v>
      </c>
      <c r="G16" t="s">
        <v>1207</v>
      </c>
      <c r="I16" t="s">
        <v>41</v>
      </c>
      <c r="K16" t="s">
        <v>53</v>
      </c>
      <c r="L16" t="s">
        <v>44</v>
      </c>
      <c r="M16" t="s">
        <v>44</v>
      </c>
      <c r="N16" t="s">
        <v>1208</v>
      </c>
      <c r="O16" t="s">
        <v>45</v>
      </c>
      <c r="Q16" t="s">
        <v>1192</v>
      </c>
      <c r="R16" s="152">
        <v>0.9</v>
      </c>
      <c r="S16" s="152">
        <v>0</v>
      </c>
      <c r="U16" s="156" t="e">
        <f>#REF!</f>
        <v>#REF!</v>
      </c>
      <c r="V16" s="105" t="e" cm="1">
        <f t="array" ref="V16">IF(W16="",U16,_xlfn.XLOOKUP(W16,$W$3:W15,$AA$3:AA15,U16,0,-1))</f>
        <v>#REF!</v>
      </c>
      <c r="W16">
        <v>3</v>
      </c>
      <c r="X16" s="151">
        <v>0.02</v>
      </c>
      <c r="Y16" s="105" t="e">
        <f t="shared" si="0"/>
        <v>#REF!</v>
      </c>
      <c r="Z16" s="105" t="e">
        <f t="shared" si="1"/>
        <v>#REF!</v>
      </c>
      <c r="AA16" s="105" t="e">
        <f t="shared" si="2"/>
        <v>#REF!</v>
      </c>
      <c r="AB16" t="s">
        <v>1182</v>
      </c>
      <c r="AC16" t="s">
        <v>484</v>
      </c>
    </row>
    <row r="17" spans="1:29" x14ac:dyDescent="0.3">
      <c r="A17" t="s">
        <v>1209</v>
      </c>
      <c r="B17" t="s">
        <v>208</v>
      </c>
      <c r="C17" t="s">
        <v>1165</v>
      </c>
      <c r="D17" t="s">
        <v>1166</v>
      </c>
      <c r="G17" t="s">
        <v>1210</v>
      </c>
      <c r="H17" t="s">
        <v>1211</v>
      </c>
      <c r="I17" t="s">
        <v>41</v>
      </c>
      <c r="O17" t="s">
        <v>157</v>
      </c>
      <c r="V17" cm="1">
        <f t="array" ref="V17">IF(W17="",U17,_xlfn.XLOOKUP(W17,$W$3:W16,$AA$3:AA16,U17,0,-1))</f>
        <v>0</v>
      </c>
      <c r="Y17">
        <f t="shared" si="0"/>
        <v>0</v>
      </c>
      <c r="Z17">
        <f t="shared" si="1"/>
        <v>0</v>
      </c>
      <c r="AA17">
        <f t="shared" si="2"/>
        <v>0</v>
      </c>
    </row>
    <row r="18" spans="1:29" x14ac:dyDescent="0.3">
      <c r="A18" t="s">
        <v>1212</v>
      </c>
      <c r="B18" t="s">
        <v>208</v>
      </c>
      <c r="C18" t="s">
        <v>1165</v>
      </c>
      <c r="D18" t="s">
        <v>1166</v>
      </c>
      <c r="G18" t="s">
        <v>1213</v>
      </c>
      <c r="I18" t="s">
        <v>41</v>
      </c>
      <c r="O18" t="s">
        <v>157</v>
      </c>
      <c r="V18" cm="1">
        <f t="array" ref="V18">IF(W18="",U18,_xlfn.XLOOKUP(W18,$W$3:W17,$AA$3:AA17,U18,0,-1))</f>
        <v>0</v>
      </c>
      <c r="Y18">
        <f t="shared" si="0"/>
        <v>0</v>
      </c>
      <c r="Z18">
        <f t="shared" si="1"/>
        <v>0</v>
      </c>
      <c r="AA18">
        <f t="shared" si="2"/>
        <v>0</v>
      </c>
    </row>
    <row r="19" spans="1:29" x14ac:dyDescent="0.3">
      <c r="A19" t="s">
        <v>1214</v>
      </c>
      <c r="B19" t="s">
        <v>208</v>
      </c>
      <c r="C19" t="s">
        <v>1165</v>
      </c>
      <c r="D19" t="s">
        <v>1166</v>
      </c>
      <c r="G19" t="s">
        <v>1215</v>
      </c>
      <c r="H19" t="s">
        <v>1216</v>
      </c>
      <c r="I19" t="s">
        <v>140</v>
      </c>
      <c r="K19" t="s">
        <v>86</v>
      </c>
      <c r="L19" t="s">
        <v>43</v>
      </c>
      <c r="M19" t="s">
        <v>44</v>
      </c>
      <c r="O19" t="s">
        <v>119</v>
      </c>
      <c r="Q19" t="s">
        <v>1217</v>
      </c>
      <c r="R19" s="152">
        <v>0.1</v>
      </c>
      <c r="S19" s="152">
        <v>0</v>
      </c>
      <c r="U19" s="150" t="e">
        <f>(#REF!+#REF!)</f>
        <v>#REF!</v>
      </c>
      <c r="V19" s="105" t="e" cm="1">
        <f t="array" ref="V19">IF(W19="",U19,_xlfn.XLOOKUP(W19,$W$3:W18,$AA$3:AA18,U19,0,-1))</f>
        <v>#REF!</v>
      </c>
      <c r="W19">
        <v>2</v>
      </c>
      <c r="X19" s="151">
        <v>1</v>
      </c>
      <c r="Y19" s="105" t="e">
        <f t="shared" si="0"/>
        <v>#REF!</v>
      </c>
      <c r="Z19" s="105" t="e">
        <f t="shared" si="1"/>
        <v>#REF!</v>
      </c>
      <c r="AA19" s="105" t="e">
        <f t="shared" si="2"/>
        <v>#REF!</v>
      </c>
      <c r="AB19" t="s">
        <v>1182</v>
      </c>
      <c r="AC19" t="s">
        <v>484</v>
      </c>
    </row>
    <row r="20" spans="1:29" x14ac:dyDescent="0.3">
      <c r="A20" t="s">
        <v>1218</v>
      </c>
      <c r="B20" t="s">
        <v>208</v>
      </c>
      <c r="C20" t="s">
        <v>1165</v>
      </c>
      <c r="D20" t="s">
        <v>1166</v>
      </c>
      <c r="G20" t="s">
        <v>1219</v>
      </c>
      <c r="H20" t="s">
        <v>1211</v>
      </c>
      <c r="I20" t="s">
        <v>140</v>
      </c>
      <c r="O20" t="s">
        <v>157</v>
      </c>
      <c r="V20" cm="1">
        <f t="array" ref="V20">IF(W20="",U20,_xlfn.XLOOKUP(W20,$W$3:W19,$AA$3:AA19,U20,0,-1))</f>
        <v>0</v>
      </c>
      <c r="Y20">
        <f t="shared" si="0"/>
        <v>0</v>
      </c>
      <c r="Z20">
        <f t="shared" si="1"/>
        <v>0</v>
      </c>
      <c r="AA20">
        <f t="shared" si="2"/>
        <v>0</v>
      </c>
    </row>
    <row r="21" spans="1:29" x14ac:dyDescent="0.3">
      <c r="A21" t="s">
        <v>1220</v>
      </c>
      <c r="B21" t="s">
        <v>208</v>
      </c>
      <c r="C21" t="s">
        <v>1165</v>
      </c>
      <c r="D21" t="s">
        <v>1166</v>
      </c>
      <c r="G21" t="s">
        <v>1221</v>
      </c>
      <c r="H21" t="s">
        <v>1211</v>
      </c>
      <c r="I21" t="s">
        <v>140</v>
      </c>
      <c r="O21" t="s">
        <v>157</v>
      </c>
      <c r="V21" cm="1">
        <f t="array" ref="V21">IF(W21="",U21,_xlfn.XLOOKUP(W21,$W$3:W20,$AA$3:AA20,U21,0,-1))</f>
        <v>0</v>
      </c>
      <c r="Y21">
        <f t="shared" si="0"/>
        <v>0</v>
      </c>
      <c r="Z21">
        <f t="shared" si="1"/>
        <v>0</v>
      </c>
      <c r="AA21">
        <f t="shared" si="2"/>
        <v>0</v>
      </c>
    </row>
    <row r="22" spans="1:29" x14ac:dyDescent="0.3">
      <c r="A22" t="s">
        <v>1222</v>
      </c>
      <c r="B22" t="s">
        <v>208</v>
      </c>
      <c r="C22" t="s">
        <v>1165</v>
      </c>
      <c r="D22" t="s">
        <v>1166</v>
      </c>
      <c r="G22" t="s">
        <v>1223</v>
      </c>
      <c r="H22" t="s">
        <v>1224</v>
      </c>
      <c r="I22" t="s">
        <v>140</v>
      </c>
      <c r="N22" t="s">
        <v>1225</v>
      </c>
      <c r="O22" t="s">
        <v>157</v>
      </c>
      <c r="V22" cm="1">
        <f t="array" ref="V22">IF(W22="",U22,_xlfn.XLOOKUP(W22,$W$3:W21,$AA$3:AA21,U22,0,-1))</f>
        <v>0</v>
      </c>
      <c r="Y22">
        <f t="shared" si="0"/>
        <v>0</v>
      </c>
      <c r="Z22">
        <f t="shared" si="1"/>
        <v>0</v>
      </c>
      <c r="AA22">
        <f t="shared" si="2"/>
        <v>0</v>
      </c>
    </row>
    <row r="23" spans="1:29" x14ac:dyDescent="0.3">
      <c r="A23" t="s">
        <v>1226</v>
      </c>
      <c r="B23" t="s">
        <v>208</v>
      </c>
      <c r="C23" t="s">
        <v>1165</v>
      </c>
      <c r="D23" t="s">
        <v>1166</v>
      </c>
      <c r="G23" t="s">
        <v>1227</v>
      </c>
      <c r="I23" t="s">
        <v>140</v>
      </c>
      <c r="K23" t="s">
        <v>53</v>
      </c>
      <c r="L23" t="s">
        <v>44</v>
      </c>
      <c r="M23" t="s">
        <v>44</v>
      </c>
      <c r="O23" t="s">
        <v>45</v>
      </c>
      <c r="Q23" t="s">
        <v>1192</v>
      </c>
      <c r="R23" s="157">
        <v>5</v>
      </c>
      <c r="S23" s="152">
        <v>0</v>
      </c>
      <c r="U23" s="150" t="e">
        <f>#REF!+#REF!</f>
        <v>#REF!</v>
      </c>
      <c r="V23" s="105" cm="1">
        <f t="array" aca="1" ref="V23" ca="1">IF(W23="",U23,_xlfn.XLOOKUP(W23,$W$3:W22,$AA$3:AA22,U23,0,-1))</f>
        <v>0</v>
      </c>
      <c r="W23">
        <v>1</v>
      </c>
      <c r="X23" s="151">
        <v>0.02</v>
      </c>
      <c r="Y23" s="105" t="e">
        <f t="shared" si="0"/>
        <v>#REF!</v>
      </c>
      <c r="Z23" s="105">
        <f t="shared" ca="1" si="1"/>
        <v>0</v>
      </c>
      <c r="AA23" s="105">
        <f t="shared" ca="1" si="2"/>
        <v>0</v>
      </c>
      <c r="AB23" t="s">
        <v>1182</v>
      </c>
      <c r="AC23" t="s">
        <v>484</v>
      </c>
    </row>
    <row r="24" spans="1:29" x14ac:dyDescent="0.3">
      <c r="A24" t="s">
        <v>1228</v>
      </c>
      <c r="B24" t="s">
        <v>208</v>
      </c>
      <c r="C24" t="s">
        <v>1165</v>
      </c>
      <c r="D24" t="s">
        <v>1166</v>
      </c>
      <c r="G24" t="s">
        <v>1229</v>
      </c>
      <c r="H24" t="s">
        <v>1230</v>
      </c>
      <c r="I24" t="s">
        <v>41</v>
      </c>
      <c r="K24" t="s">
        <v>53</v>
      </c>
      <c r="L24" t="s">
        <v>44</v>
      </c>
      <c r="M24" t="s">
        <v>44</v>
      </c>
      <c r="O24" t="s">
        <v>45</v>
      </c>
      <c r="Q24" t="s">
        <v>1192</v>
      </c>
      <c r="R24" s="152">
        <v>0.25</v>
      </c>
      <c r="S24" s="152">
        <v>0</v>
      </c>
      <c r="U24" s="156" t="e">
        <f>#REF!</f>
        <v>#REF!</v>
      </c>
      <c r="V24" s="105" t="e" cm="1">
        <f t="array" ref="V24">IF(W24="",U24,_xlfn.XLOOKUP(W24,$W$3:W23,$AA$3:AA23,U24,0,-1))</f>
        <v>#REF!</v>
      </c>
      <c r="X24" s="151">
        <v>0.02</v>
      </c>
      <c r="Y24" s="105" t="e">
        <f t="shared" si="0"/>
        <v>#REF!</v>
      </c>
      <c r="Z24" s="105" t="e">
        <f t="shared" si="1"/>
        <v>#REF!</v>
      </c>
      <c r="AA24" s="105" t="e">
        <f t="shared" si="2"/>
        <v>#REF!</v>
      </c>
      <c r="AB24" t="s">
        <v>1182</v>
      </c>
      <c r="AC24" t="s">
        <v>484</v>
      </c>
    </row>
    <row r="25" spans="1:29" x14ac:dyDescent="0.3">
      <c r="A25" t="s">
        <v>1231</v>
      </c>
      <c r="B25" t="s">
        <v>208</v>
      </c>
      <c r="C25" t="s">
        <v>1165</v>
      </c>
      <c r="D25" t="s">
        <v>1166</v>
      </c>
      <c r="G25" t="s">
        <v>1232</v>
      </c>
      <c r="H25" t="s">
        <v>1233</v>
      </c>
      <c r="I25" t="s">
        <v>140</v>
      </c>
      <c r="O25" t="s">
        <v>157</v>
      </c>
      <c r="V25" cm="1">
        <f t="array" ref="V25">IF(W25="",U25,_xlfn.XLOOKUP(W25,$W$3:W24,$AA$3:AA24,U25,0,-1))</f>
        <v>0</v>
      </c>
      <c r="Y25">
        <f t="shared" si="0"/>
        <v>0</v>
      </c>
      <c r="Z25">
        <f t="shared" si="1"/>
        <v>0</v>
      </c>
      <c r="AA25">
        <f t="shared" si="2"/>
        <v>0</v>
      </c>
    </row>
    <row r="26" spans="1:29" x14ac:dyDescent="0.3">
      <c r="A26" t="s">
        <v>1234</v>
      </c>
      <c r="B26" t="s">
        <v>208</v>
      </c>
      <c r="C26" t="s">
        <v>1165</v>
      </c>
      <c r="D26" t="s">
        <v>1166</v>
      </c>
      <c r="G26" t="s">
        <v>1235</v>
      </c>
      <c r="H26" t="s">
        <v>1211</v>
      </c>
      <c r="I26" t="s">
        <v>140</v>
      </c>
      <c r="O26" t="s">
        <v>157</v>
      </c>
      <c r="V26" cm="1">
        <f t="array" ref="V26">IF(W26="",U26,_xlfn.XLOOKUP(W26,$W$3:W25,$AA$3:AA25,U26,0,-1))</f>
        <v>0</v>
      </c>
      <c r="Y26">
        <f t="shared" si="0"/>
        <v>0</v>
      </c>
      <c r="Z26">
        <f t="shared" si="1"/>
        <v>0</v>
      </c>
      <c r="AA26">
        <f t="shared" si="2"/>
        <v>0</v>
      </c>
    </row>
    <row r="27" spans="1:29" x14ac:dyDescent="0.3">
      <c r="A27" t="s">
        <v>1236</v>
      </c>
      <c r="B27" t="s">
        <v>208</v>
      </c>
      <c r="C27" t="s">
        <v>1165</v>
      </c>
      <c r="D27" t="s">
        <v>1166</v>
      </c>
      <c r="G27" t="s">
        <v>1237</v>
      </c>
      <c r="H27" t="s">
        <v>1211</v>
      </c>
      <c r="I27" t="s">
        <v>140</v>
      </c>
      <c r="O27" t="s">
        <v>157</v>
      </c>
      <c r="V27" cm="1">
        <f t="array" ref="V27">IF(W27="",U27,_xlfn.XLOOKUP(W27,$W$3:W26,$AA$3:AA26,U27,0,-1))</f>
        <v>0</v>
      </c>
      <c r="Y27">
        <f t="shared" si="0"/>
        <v>0</v>
      </c>
      <c r="Z27">
        <f t="shared" si="1"/>
        <v>0</v>
      </c>
      <c r="AA27">
        <f t="shared" si="2"/>
        <v>0</v>
      </c>
    </row>
    <row r="28" spans="1:29" x14ac:dyDescent="0.3">
      <c r="A28" t="s">
        <v>1238</v>
      </c>
      <c r="B28" t="s">
        <v>208</v>
      </c>
      <c r="C28" t="s">
        <v>1165</v>
      </c>
      <c r="D28" t="s">
        <v>1166</v>
      </c>
      <c r="G28" t="s">
        <v>1239</v>
      </c>
      <c r="H28" t="s">
        <v>1240</v>
      </c>
      <c r="I28" t="s">
        <v>140</v>
      </c>
      <c r="O28" t="s">
        <v>157</v>
      </c>
      <c r="V28" cm="1">
        <f t="array" ref="V28">IF(W28="",U28,_xlfn.XLOOKUP(W28,$W$3:W27,$AA$3:AA27,U28,0,-1))</f>
        <v>0</v>
      </c>
      <c r="Y28">
        <f t="shared" si="0"/>
        <v>0</v>
      </c>
      <c r="Z28">
        <f t="shared" si="1"/>
        <v>0</v>
      </c>
      <c r="AA28">
        <f t="shared" si="2"/>
        <v>0</v>
      </c>
    </row>
    <row r="29" spans="1:29" x14ac:dyDescent="0.3">
      <c r="A29" t="s">
        <v>1241</v>
      </c>
      <c r="B29" t="s">
        <v>208</v>
      </c>
      <c r="C29" t="s">
        <v>1165</v>
      </c>
      <c r="D29" t="s">
        <v>1166</v>
      </c>
      <c r="G29" t="s">
        <v>1242</v>
      </c>
      <c r="I29" t="s">
        <v>140</v>
      </c>
      <c r="O29" t="s">
        <v>157</v>
      </c>
      <c r="V29" cm="1">
        <f t="array" ref="V29">IF(W29="",U29,_xlfn.XLOOKUP(W29,$W$3:W28,$AA$3:AA28,U29,0,-1))</f>
        <v>0</v>
      </c>
      <c r="Y29">
        <f t="shared" si="0"/>
        <v>0</v>
      </c>
      <c r="Z29">
        <f t="shared" si="1"/>
        <v>0</v>
      </c>
      <c r="AA29">
        <f t="shared" si="2"/>
        <v>0</v>
      </c>
    </row>
    <row r="30" spans="1:29" x14ac:dyDescent="0.3">
      <c r="A30" t="s">
        <v>1243</v>
      </c>
      <c r="B30" t="s">
        <v>208</v>
      </c>
      <c r="C30" t="s">
        <v>1165</v>
      </c>
      <c r="D30" t="s">
        <v>1166</v>
      </c>
      <c r="G30" t="s">
        <v>1244</v>
      </c>
      <c r="H30" t="s">
        <v>1245</v>
      </c>
      <c r="I30" t="s">
        <v>140</v>
      </c>
      <c r="O30" t="s">
        <v>157</v>
      </c>
      <c r="V30" cm="1">
        <f t="array" ref="V30">IF(W30="",U30,_xlfn.XLOOKUP(W30,$W$3:W29,$AA$3:AA29,U30,0,-1))</f>
        <v>0</v>
      </c>
      <c r="Y30">
        <f t="shared" si="0"/>
        <v>0</v>
      </c>
      <c r="Z30">
        <f t="shared" si="1"/>
        <v>0</v>
      </c>
      <c r="AA30">
        <f t="shared" si="2"/>
        <v>0</v>
      </c>
    </row>
    <row r="31" spans="1:29" x14ac:dyDescent="0.3">
      <c r="A31" t="s">
        <v>1246</v>
      </c>
      <c r="B31" t="s">
        <v>208</v>
      </c>
      <c r="C31" t="s">
        <v>1165</v>
      </c>
      <c r="D31" t="s">
        <v>1166</v>
      </c>
      <c r="G31" t="s">
        <v>1247</v>
      </c>
      <c r="H31" t="s">
        <v>1211</v>
      </c>
      <c r="I31" t="s">
        <v>140</v>
      </c>
      <c r="O31" t="s">
        <v>157</v>
      </c>
      <c r="V31" cm="1">
        <f t="array" ref="V31">IF(W31="",U31,_xlfn.XLOOKUP(W31,$W$3:W30,$AA$3:AA30,U31,0,-1))</f>
        <v>0</v>
      </c>
      <c r="Y31">
        <f t="shared" si="0"/>
        <v>0</v>
      </c>
      <c r="Z31">
        <f t="shared" si="1"/>
        <v>0</v>
      </c>
      <c r="AA31">
        <f t="shared" si="2"/>
        <v>0</v>
      </c>
    </row>
    <row r="32" spans="1:29" x14ac:dyDescent="0.3">
      <c r="A32" t="s">
        <v>1248</v>
      </c>
      <c r="B32" t="s">
        <v>208</v>
      </c>
      <c r="C32" t="s">
        <v>1165</v>
      </c>
      <c r="D32" t="s">
        <v>1166</v>
      </c>
      <c r="G32" t="s">
        <v>1249</v>
      </c>
      <c r="H32" t="s">
        <v>1250</v>
      </c>
      <c r="I32" t="s">
        <v>140</v>
      </c>
      <c r="O32" t="s">
        <v>157</v>
      </c>
      <c r="V32" cm="1">
        <f t="array" ref="V32">IF(W32="",U32,_xlfn.XLOOKUP(W32,$W$3:W31,$AA$3:AA31,U32,0,-1))</f>
        <v>0</v>
      </c>
      <c r="Y32">
        <f t="shared" si="0"/>
        <v>0</v>
      </c>
      <c r="Z32">
        <f t="shared" si="1"/>
        <v>0</v>
      </c>
      <c r="AA32">
        <f t="shared" si="2"/>
        <v>0</v>
      </c>
    </row>
    <row r="33" spans="1:29" x14ac:dyDescent="0.3">
      <c r="A33" t="s">
        <v>1251</v>
      </c>
      <c r="B33" t="s">
        <v>208</v>
      </c>
      <c r="C33" t="s">
        <v>1165</v>
      </c>
      <c r="D33" t="s">
        <v>1166</v>
      </c>
      <c r="G33" t="s">
        <v>1252</v>
      </c>
      <c r="H33" t="s">
        <v>1211</v>
      </c>
      <c r="I33" t="s">
        <v>140</v>
      </c>
      <c r="O33" t="s">
        <v>157</v>
      </c>
      <c r="V33" cm="1">
        <f t="array" ref="V33">IF(W33="",U33,_xlfn.XLOOKUP(W33,$W$3:W32,$AA$3:AA32,U33,0,-1))</f>
        <v>0</v>
      </c>
      <c r="Y33">
        <f t="shared" si="0"/>
        <v>0</v>
      </c>
      <c r="Z33">
        <f t="shared" si="1"/>
        <v>0</v>
      </c>
      <c r="AA33">
        <f t="shared" si="2"/>
        <v>0</v>
      </c>
    </row>
    <row r="34" spans="1:29" x14ac:dyDescent="0.3">
      <c r="A34" t="s">
        <v>1253</v>
      </c>
      <c r="B34" t="s">
        <v>208</v>
      </c>
      <c r="C34" t="s">
        <v>1165</v>
      </c>
      <c r="D34" t="s">
        <v>1166</v>
      </c>
      <c r="G34" t="s">
        <v>1254</v>
      </c>
      <c r="I34" t="s">
        <v>140</v>
      </c>
      <c r="K34" t="s">
        <v>53</v>
      </c>
      <c r="L34" t="s">
        <v>44</v>
      </c>
      <c r="M34" t="s">
        <v>44</v>
      </c>
      <c r="O34" t="s">
        <v>106</v>
      </c>
      <c r="Q34" t="s">
        <v>1192</v>
      </c>
      <c r="R34" s="152">
        <v>0.5</v>
      </c>
      <c r="S34" s="152">
        <v>0</v>
      </c>
      <c r="U34" s="156" t="e">
        <f>#REF!</f>
        <v>#REF!</v>
      </c>
      <c r="V34" s="105" t="e" cm="1">
        <f t="array" ref="V34">IF(W34="",U34,_xlfn.XLOOKUP(W34,$W$3:W33,$AA$3:AA33,U34,0,-1))</f>
        <v>#REF!</v>
      </c>
      <c r="X34" s="151">
        <v>0.02</v>
      </c>
      <c r="Y34" s="105" t="e">
        <f t="shared" si="0"/>
        <v>#REF!</v>
      </c>
      <c r="Z34" s="105" t="e">
        <f t="shared" si="1"/>
        <v>#REF!</v>
      </c>
      <c r="AA34" s="105" t="e">
        <f t="shared" si="2"/>
        <v>#REF!</v>
      </c>
    </row>
    <row r="35" spans="1:29" x14ac:dyDescent="0.3">
      <c r="A35" t="s">
        <v>1255</v>
      </c>
      <c r="B35" t="s">
        <v>208</v>
      </c>
      <c r="C35" t="s">
        <v>1165</v>
      </c>
      <c r="D35" t="s">
        <v>1166</v>
      </c>
      <c r="G35" t="s">
        <v>1256</v>
      </c>
      <c r="H35" t="s">
        <v>1211</v>
      </c>
      <c r="I35" t="s">
        <v>140</v>
      </c>
      <c r="O35" t="s">
        <v>157</v>
      </c>
      <c r="V35" cm="1">
        <f t="array" ref="V35">IF(W35="",U35,_xlfn.XLOOKUP(W35,$W$3:W34,$AA$3:AA34,U35,0,-1))</f>
        <v>0</v>
      </c>
      <c r="Y35">
        <f t="shared" ref="Y35:Y66" si="3">(R35-S35)*X35*U35</f>
        <v>0</v>
      </c>
      <c r="Z35">
        <f t="shared" ref="Z35:Z66" si="4">(R35-S35)*X35*V35</f>
        <v>0</v>
      </c>
      <c r="AA35">
        <f t="shared" ref="AA35:AA66" si="5">V35-Z35</f>
        <v>0</v>
      </c>
    </row>
    <row r="36" spans="1:29" ht="15.6" customHeight="1" x14ac:dyDescent="0.3">
      <c r="B36" t="s">
        <v>208</v>
      </c>
      <c r="C36" t="s">
        <v>1165</v>
      </c>
      <c r="G36" t="s">
        <v>1257</v>
      </c>
      <c r="H36" t="s">
        <v>1258</v>
      </c>
      <c r="I36" t="s">
        <v>52</v>
      </c>
      <c r="K36" t="s">
        <v>53</v>
      </c>
      <c r="L36" t="s">
        <v>43</v>
      </c>
      <c r="M36" t="s">
        <v>44</v>
      </c>
      <c r="O36" t="s">
        <v>106</v>
      </c>
      <c r="Q36" t="s">
        <v>1259</v>
      </c>
      <c r="R36" s="152">
        <v>1</v>
      </c>
      <c r="S36" s="152">
        <v>0.25</v>
      </c>
      <c r="U36" s="150" t="e">
        <f>#REF!/1000</f>
        <v>#REF!</v>
      </c>
      <c r="V36" s="105" t="e" cm="1">
        <f t="array" ref="V36">IF(W36="",U36,_xlfn.XLOOKUP(W36,$W$3:W35,$AA$3:AA35,U36,0,-1))</f>
        <v>#REF!</v>
      </c>
      <c r="X36" s="151">
        <v>0.86</v>
      </c>
      <c r="Y36" s="105" t="e">
        <f t="shared" si="3"/>
        <v>#REF!</v>
      </c>
      <c r="Z36" s="105" t="e">
        <f t="shared" si="4"/>
        <v>#REF!</v>
      </c>
      <c r="AA36" s="105" t="e">
        <f t="shared" si="5"/>
        <v>#REF!</v>
      </c>
      <c r="AB36" t="s">
        <v>1260</v>
      </c>
      <c r="AC36" t="s">
        <v>1261</v>
      </c>
    </row>
    <row r="37" spans="1:29" ht="17.100000000000001" customHeight="1" x14ac:dyDescent="0.3">
      <c r="B37" t="s">
        <v>208</v>
      </c>
      <c r="C37" t="s">
        <v>1165</v>
      </c>
      <c r="G37" t="s">
        <v>1262</v>
      </c>
      <c r="I37" t="s">
        <v>52</v>
      </c>
      <c r="K37" t="s">
        <v>53</v>
      </c>
      <c r="L37" t="s">
        <v>44</v>
      </c>
      <c r="M37" t="s">
        <v>44</v>
      </c>
      <c r="O37" t="s">
        <v>45</v>
      </c>
      <c r="Q37" t="s">
        <v>1192</v>
      </c>
      <c r="R37" s="152">
        <v>0.75</v>
      </c>
      <c r="S37" s="152">
        <v>0.25</v>
      </c>
      <c r="U37" s="150" t="e">
        <f>#REF!+#REF!</f>
        <v>#REF!</v>
      </c>
      <c r="V37" s="105" t="e" cm="1">
        <f t="array" ref="V37">IF(W37="",U37,_xlfn.XLOOKUP(W37,$W$3:W36,$AA$3:AA36,U37,0,-1))</f>
        <v>#REF!</v>
      </c>
      <c r="W37">
        <v>2</v>
      </c>
      <c r="X37" s="151">
        <v>0.02</v>
      </c>
      <c r="Y37" s="105" t="e">
        <f t="shared" si="3"/>
        <v>#REF!</v>
      </c>
      <c r="Z37" s="105" t="e">
        <f t="shared" si="4"/>
        <v>#REF!</v>
      </c>
      <c r="AA37" s="105" t="e">
        <f t="shared" si="5"/>
        <v>#REF!</v>
      </c>
      <c r="AB37" t="s">
        <v>1263</v>
      </c>
      <c r="AC37" t="s">
        <v>1264</v>
      </c>
    </row>
    <row r="38" spans="1:29" ht="17.100000000000001" customHeight="1" x14ac:dyDescent="0.3">
      <c r="B38" t="s">
        <v>208</v>
      </c>
      <c r="C38" t="s">
        <v>1165</v>
      </c>
      <c r="G38" t="s">
        <v>1265</v>
      </c>
      <c r="I38" t="s">
        <v>52</v>
      </c>
      <c r="K38" t="s">
        <v>42</v>
      </c>
      <c r="L38" t="s">
        <v>43</v>
      </c>
      <c r="M38" t="s">
        <v>44</v>
      </c>
      <c r="O38" t="s">
        <v>119</v>
      </c>
      <c r="Q38" t="s">
        <v>1266</v>
      </c>
      <c r="R38" s="152">
        <v>1</v>
      </c>
      <c r="S38" s="152">
        <v>0</v>
      </c>
      <c r="U38" s="156" t="e">
        <f>#REF!</f>
        <v>#REF!</v>
      </c>
      <c r="V38" s="105" t="e" cm="1">
        <f t="array" ref="V38">IF(W38="",U38,_xlfn.XLOOKUP(W38,$W$3:W37,$AA$3:AA37,U38,0,-1))</f>
        <v>#REF!</v>
      </c>
      <c r="W38">
        <v>4</v>
      </c>
      <c r="X38" s="151">
        <v>0.02</v>
      </c>
      <c r="Y38" s="105" t="e">
        <f t="shared" si="3"/>
        <v>#REF!</v>
      </c>
      <c r="Z38" s="105" t="e">
        <f t="shared" si="4"/>
        <v>#REF!</v>
      </c>
      <c r="AA38" s="105" t="e">
        <f t="shared" si="5"/>
        <v>#REF!</v>
      </c>
      <c r="AB38" t="s">
        <v>1267</v>
      </c>
    </row>
    <row r="39" spans="1:29" ht="14.4" customHeight="1" x14ac:dyDescent="0.3">
      <c r="B39" t="s">
        <v>208</v>
      </c>
      <c r="D39" t="s">
        <v>1166</v>
      </c>
      <c r="G39" t="s">
        <v>1268</v>
      </c>
      <c r="H39" t="s">
        <v>1269</v>
      </c>
      <c r="I39" t="s">
        <v>52</v>
      </c>
      <c r="K39" t="s">
        <v>86</v>
      </c>
      <c r="L39" t="s">
        <v>43</v>
      </c>
      <c r="M39" t="s">
        <v>44</v>
      </c>
      <c r="O39" t="s">
        <v>106</v>
      </c>
      <c r="Q39" t="s">
        <v>1266</v>
      </c>
      <c r="R39" s="152">
        <v>1</v>
      </c>
      <c r="S39" s="152">
        <v>0</v>
      </c>
      <c r="U39" s="150" t="e">
        <f>(#REF!+#REF!+#REF!+#REF!+#REF!)</f>
        <v>#REF!</v>
      </c>
      <c r="V39" s="105" t="e" cm="1">
        <f t="array" ref="V39">IF(W39="",U39,_xlfn.XLOOKUP(W39,$W$3:W38,$AA$3:AA38,U39,0,-1))</f>
        <v>#REF!</v>
      </c>
      <c r="W39">
        <v>3</v>
      </c>
      <c r="X39" s="151">
        <v>0.02</v>
      </c>
      <c r="Y39" s="105" t="e">
        <f t="shared" si="3"/>
        <v>#REF!</v>
      </c>
      <c r="Z39" s="105" t="e">
        <f t="shared" si="4"/>
        <v>#REF!</v>
      </c>
      <c r="AA39" s="105" t="e">
        <f t="shared" si="5"/>
        <v>#REF!</v>
      </c>
      <c r="AB39" t="s">
        <v>77</v>
      </c>
      <c r="AC39" t="s">
        <v>1270</v>
      </c>
    </row>
    <row r="40" spans="1:29" ht="15" customHeight="1" x14ac:dyDescent="0.3">
      <c r="B40" t="s">
        <v>208</v>
      </c>
      <c r="D40" t="s">
        <v>1166</v>
      </c>
      <c r="G40" t="s">
        <v>1271</v>
      </c>
      <c r="H40" t="s">
        <v>1272</v>
      </c>
      <c r="I40" t="s">
        <v>52</v>
      </c>
      <c r="K40" t="s">
        <v>53</v>
      </c>
      <c r="L40" t="s">
        <v>44</v>
      </c>
      <c r="M40" t="s">
        <v>44</v>
      </c>
      <c r="O40" t="s">
        <v>106</v>
      </c>
      <c r="Q40" t="s">
        <v>1192</v>
      </c>
      <c r="R40" s="152">
        <v>0.9</v>
      </c>
      <c r="S40" s="152">
        <v>0</v>
      </c>
      <c r="U40" s="156" t="e">
        <f>#REF!</f>
        <v>#REF!</v>
      </c>
      <c r="V40" s="105" t="e" cm="1">
        <f t="array" ref="V40">IF(W40="",U40,_xlfn.XLOOKUP(W40,$W$3:W39,$AA$3:AA39,U40,0,-1))</f>
        <v>#REF!</v>
      </c>
      <c r="W40">
        <v>3</v>
      </c>
      <c r="X40" s="151">
        <v>0.02</v>
      </c>
      <c r="Y40" s="105" t="e">
        <f t="shared" si="3"/>
        <v>#REF!</v>
      </c>
      <c r="Z40" s="105" t="e">
        <f t="shared" si="4"/>
        <v>#REF!</v>
      </c>
      <c r="AA40" s="105" t="e">
        <f t="shared" si="5"/>
        <v>#REF!</v>
      </c>
      <c r="AB40" t="s">
        <v>77</v>
      </c>
      <c r="AC40" t="s">
        <v>1270</v>
      </c>
    </row>
    <row r="41" spans="1:29" ht="14.1" customHeight="1" x14ac:dyDescent="0.3">
      <c r="B41" t="s">
        <v>208</v>
      </c>
      <c r="G41" t="s">
        <v>1265</v>
      </c>
      <c r="H41" t="s">
        <v>1273</v>
      </c>
      <c r="I41" t="s">
        <v>52</v>
      </c>
      <c r="K41" t="s">
        <v>86</v>
      </c>
      <c r="L41" t="s">
        <v>43</v>
      </c>
      <c r="M41" t="s">
        <v>44</v>
      </c>
      <c r="O41" t="s">
        <v>45</v>
      </c>
      <c r="Q41" t="s">
        <v>1266</v>
      </c>
      <c r="R41" s="152">
        <v>1</v>
      </c>
      <c r="S41" s="152">
        <v>0</v>
      </c>
      <c r="U41" s="156" t="e">
        <f>#REF!</f>
        <v>#REF!</v>
      </c>
      <c r="V41" s="105" t="e" cm="1">
        <f t="array" ref="V41">IF(W41="",U41,_xlfn.XLOOKUP(W41,$W$3:W40,$AA$3:AA40,U41,0,-1))</f>
        <v>#REF!</v>
      </c>
      <c r="W41">
        <v>4</v>
      </c>
      <c r="X41" s="151">
        <v>0.02</v>
      </c>
      <c r="Y41" s="105" t="e">
        <f t="shared" si="3"/>
        <v>#REF!</v>
      </c>
      <c r="Z41" s="105" t="e">
        <f t="shared" si="4"/>
        <v>#REF!</v>
      </c>
      <c r="AA41" s="105" t="e">
        <f t="shared" si="5"/>
        <v>#REF!</v>
      </c>
      <c r="AB41" t="s">
        <v>1084</v>
      </c>
      <c r="AC41" t="s">
        <v>77</v>
      </c>
    </row>
    <row r="42" spans="1:29" x14ac:dyDescent="0.3">
      <c r="A42" t="s">
        <v>1274</v>
      </c>
      <c r="B42" t="s">
        <v>1275</v>
      </c>
      <c r="D42" t="s">
        <v>1166</v>
      </c>
      <c r="G42" t="s">
        <v>1276</v>
      </c>
      <c r="I42" t="s">
        <v>41</v>
      </c>
      <c r="J42">
        <v>0</v>
      </c>
      <c r="K42" t="s">
        <v>53</v>
      </c>
      <c r="L42" t="s">
        <v>44</v>
      </c>
      <c r="M42" t="s">
        <v>44</v>
      </c>
      <c r="N42" t="s">
        <v>547</v>
      </c>
      <c r="O42" t="s">
        <v>106</v>
      </c>
      <c r="V42" cm="1">
        <f t="array" ref="V42">IF(W42="",U42,_xlfn.XLOOKUP(W42,$W$3:W41,$AA$3:AA41,U42,0,-1))</f>
        <v>0</v>
      </c>
      <c r="Y42">
        <f t="shared" si="3"/>
        <v>0</v>
      </c>
      <c r="Z42">
        <f t="shared" si="4"/>
        <v>0</v>
      </c>
      <c r="AA42">
        <f t="shared" si="5"/>
        <v>0</v>
      </c>
      <c r="AB42" t="s">
        <v>77</v>
      </c>
      <c r="AC42" t="s">
        <v>516</v>
      </c>
    </row>
    <row r="43" spans="1:29" x14ac:dyDescent="0.3">
      <c r="A43" t="s">
        <v>1277</v>
      </c>
      <c r="B43" t="s">
        <v>1275</v>
      </c>
      <c r="D43" t="s">
        <v>1166</v>
      </c>
      <c r="G43" t="s">
        <v>1278</v>
      </c>
      <c r="H43" t="s">
        <v>1279</v>
      </c>
      <c r="I43" t="s">
        <v>41</v>
      </c>
      <c r="J43">
        <v>0</v>
      </c>
      <c r="K43" t="s">
        <v>53</v>
      </c>
      <c r="L43" t="s">
        <v>43</v>
      </c>
      <c r="M43" t="s">
        <v>43</v>
      </c>
      <c r="N43" t="s">
        <v>502</v>
      </c>
      <c r="O43" t="s">
        <v>106</v>
      </c>
      <c r="V43" cm="1">
        <f t="array" ref="V43">IF(W43="",U43,_xlfn.XLOOKUP(W43,$W$3:W42,$AA$3:AA42,U43,0,-1))</f>
        <v>0</v>
      </c>
      <c r="Y43">
        <f t="shared" si="3"/>
        <v>0</v>
      </c>
      <c r="Z43">
        <f t="shared" si="4"/>
        <v>0</v>
      </c>
      <c r="AA43">
        <f t="shared" si="5"/>
        <v>0</v>
      </c>
      <c r="AB43" t="s">
        <v>535</v>
      </c>
    </row>
    <row r="44" spans="1:29" x14ac:dyDescent="0.3">
      <c r="A44" t="s">
        <v>1280</v>
      </c>
      <c r="B44" t="s">
        <v>1275</v>
      </c>
      <c r="D44" t="s">
        <v>1166</v>
      </c>
      <c r="G44" t="s">
        <v>1281</v>
      </c>
      <c r="H44" t="s">
        <v>1282</v>
      </c>
      <c r="I44" t="s">
        <v>41</v>
      </c>
      <c r="J44">
        <v>0</v>
      </c>
      <c r="K44" t="s">
        <v>53</v>
      </c>
      <c r="L44" t="s">
        <v>43</v>
      </c>
      <c r="M44" t="s">
        <v>43</v>
      </c>
      <c r="O44" t="s">
        <v>45</v>
      </c>
      <c r="V44" cm="1">
        <f t="array" ref="V44">IF(W44="",U44,_xlfn.XLOOKUP(W44,$W$3:W43,$AA$3:AA43,U44,0,-1))</f>
        <v>0</v>
      </c>
      <c r="Y44">
        <f t="shared" si="3"/>
        <v>0</v>
      </c>
      <c r="Z44">
        <f t="shared" si="4"/>
        <v>0</v>
      </c>
      <c r="AA44">
        <f t="shared" si="5"/>
        <v>0</v>
      </c>
      <c r="AB44" t="s">
        <v>530</v>
      </c>
      <c r="AC44" t="s">
        <v>1283</v>
      </c>
    </row>
    <row r="45" spans="1:29" x14ac:dyDescent="0.3">
      <c r="A45" t="s">
        <v>1284</v>
      </c>
      <c r="B45" t="s">
        <v>1275</v>
      </c>
      <c r="D45" t="s">
        <v>1166</v>
      </c>
      <c r="G45" t="s">
        <v>1285</v>
      </c>
      <c r="H45" t="s">
        <v>1286</v>
      </c>
      <c r="I45" t="s">
        <v>41</v>
      </c>
      <c r="J45">
        <v>0</v>
      </c>
      <c r="K45" t="s">
        <v>86</v>
      </c>
      <c r="L45" t="s">
        <v>43</v>
      </c>
      <c r="O45" t="s">
        <v>45</v>
      </c>
      <c r="V45" cm="1">
        <f t="array" ref="V45">IF(W45="",U45,_xlfn.XLOOKUP(W45,$W$3:W44,$AA$3:AA44,U45,0,-1))</f>
        <v>0</v>
      </c>
      <c r="Y45">
        <f t="shared" si="3"/>
        <v>0</v>
      </c>
      <c r="Z45">
        <f t="shared" si="4"/>
        <v>0</v>
      </c>
      <c r="AA45">
        <f t="shared" si="5"/>
        <v>0</v>
      </c>
      <c r="AB45" t="s">
        <v>512</v>
      </c>
      <c r="AC45" t="s">
        <v>77</v>
      </c>
    </row>
    <row r="46" spans="1:29" x14ac:dyDescent="0.3">
      <c r="A46" t="s">
        <v>1287</v>
      </c>
      <c r="B46" t="s">
        <v>1275</v>
      </c>
      <c r="D46" t="s">
        <v>1166</v>
      </c>
      <c r="G46" t="s">
        <v>1288</v>
      </c>
      <c r="I46" t="s">
        <v>41</v>
      </c>
      <c r="J46">
        <v>0</v>
      </c>
      <c r="K46" t="s">
        <v>53</v>
      </c>
      <c r="L46" t="s">
        <v>44</v>
      </c>
      <c r="M46" t="s">
        <v>44</v>
      </c>
      <c r="N46" s="12" t="s">
        <v>547</v>
      </c>
      <c r="O46" t="s">
        <v>119</v>
      </c>
      <c r="V46" cm="1">
        <f t="array" ref="V46">IF(W46="",U46,_xlfn.XLOOKUP(W46,$W$3:W45,$AA$3:AA45,U46,0,-1))</f>
        <v>0</v>
      </c>
      <c r="Y46">
        <f t="shared" si="3"/>
        <v>0</v>
      </c>
      <c r="Z46">
        <f t="shared" si="4"/>
        <v>0</v>
      </c>
      <c r="AA46">
        <f t="shared" si="5"/>
        <v>0</v>
      </c>
      <c r="AB46" t="s">
        <v>77</v>
      </c>
    </row>
    <row r="47" spans="1:29" x14ac:dyDescent="0.3">
      <c r="A47" t="s">
        <v>1289</v>
      </c>
      <c r="B47" t="s">
        <v>1275</v>
      </c>
      <c r="D47" t="s">
        <v>1166</v>
      </c>
      <c r="G47" t="s">
        <v>1290</v>
      </c>
      <c r="I47" t="s">
        <v>41</v>
      </c>
      <c r="J47">
        <v>0</v>
      </c>
      <c r="K47" t="s">
        <v>53</v>
      </c>
      <c r="L47" t="s">
        <v>44</v>
      </c>
      <c r="M47" t="s">
        <v>44</v>
      </c>
      <c r="O47" t="s">
        <v>45</v>
      </c>
      <c r="V47" cm="1">
        <f t="array" ref="V47">IF(W47="",U47,_xlfn.XLOOKUP(W47,$W$3:W46,$AA$3:AA46,U47,0,-1))</f>
        <v>0</v>
      </c>
      <c r="Y47">
        <f t="shared" si="3"/>
        <v>0</v>
      </c>
      <c r="Z47">
        <f t="shared" si="4"/>
        <v>0</v>
      </c>
      <c r="AA47">
        <f t="shared" si="5"/>
        <v>0</v>
      </c>
      <c r="AB47" t="s">
        <v>77</v>
      </c>
    </row>
    <row r="48" spans="1:29" x14ac:dyDescent="0.3">
      <c r="A48" t="s">
        <v>1291</v>
      </c>
      <c r="B48" t="s">
        <v>1275</v>
      </c>
      <c r="D48" t="s">
        <v>1166</v>
      </c>
      <c r="G48" t="s">
        <v>1292</v>
      </c>
      <c r="I48" t="s">
        <v>41</v>
      </c>
      <c r="J48">
        <v>2</v>
      </c>
      <c r="K48" t="s">
        <v>53</v>
      </c>
      <c r="L48" t="s">
        <v>44</v>
      </c>
      <c r="M48" t="s">
        <v>44</v>
      </c>
      <c r="O48" t="s">
        <v>45</v>
      </c>
      <c r="V48" cm="1">
        <f t="array" ref="V48">IF(W48="",U48,_xlfn.XLOOKUP(W48,$W$3:W47,$AA$3:AA47,U48,0,-1))</f>
        <v>0</v>
      </c>
      <c r="Y48">
        <f t="shared" si="3"/>
        <v>0</v>
      </c>
      <c r="Z48">
        <f t="shared" si="4"/>
        <v>0</v>
      </c>
      <c r="AA48">
        <f t="shared" si="5"/>
        <v>0</v>
      </c>
      <c r="AB48" t="s">
        <v>77</v>
      </c>
    </row>
    <row r="49" spans="1:29" x14ac:dyDescent="0.3">
      <c r="A49" t="s">
        <v>1293</v>
      </c>
      <c r="B49" t="s">
        <v>1275</v>
      </c>
      <c r="D49" t="s">
        <v>1166</v>
      </c>
      <c r="G49" t="s">
        <v>1294</v>
      </c>
      <c r="H49" t="s">
        <v>1295</v>
      </c>
      <c r="I49" t="s">
        <v>41</v>
      </c>
      <c r="J49">
        <v>1</v>
      </c>
      <c r="N49" t="s">
        <v>502</v>
      </c>
      <c r="O49" t="s">
        <v>157</v>
      </c>
      <c r="V49" cm="1">
        <f t="array" ref="V49">IF(W49="",U49,_xlfn.XLOOKUP(W49,$W$3:W48,$AA$3:AA48,U49,0,-1))</f>
        <v>0</v>
      </c>
      <c r="Y49">
        <f t="shared" si="3"/>
        <v>0</v>
      </c>
      <c r="Z49">
        <f t="shared" si="4"/>
        <v>0</v>
      </c>
      <c r="AA49">
        <f t="shared" si="5"/>
        <v>0</v>
      </c>
      <c r="AB49" t="s">
        <v>1296</v>
      </c>
    </row>
    <row r="50" spans="1:29" x14ac:dyDescent="0.3">
      <c r="A50" t="s">
        <v>1297</v>
      </c>
      <c r="B50" t="s">
        <v>1275</v>
      </c>
      <c r="D50" t="s">
        <v>1166</v>
      </c>
      <c r="G50" t="s">
        <v>1298</v>
      </c>
      <c r="I50" t="s">
        <v>41</v>
      </c>
      <c r="J50">
        <v>3</v>
      </c>
      <c r="K50" t="s">
        <v>42</v>
      </c>
      <c r="L50" t="s">
        <v>43</v>
      </c>
      <c r="M50" t="s">
        <v>43</v>
      </c>
      <c r="O50" t="s">
        <v>106</v>
      </c>
      <c r="V50" cm="1">
        <f t="array" ref="V50">IF(W50="",U50,_xlfn.XLOOKUP(W50,$W$3:W49,$AA$3:AA49,U50,0,-1))</f>
        <v>0</v>
      </c>
      <c r="Y50">
        <f t="shared" si="3"/>
        <v>0</v>
      </c>
      <c r="Z50">
        <f t="shared" si="4"/>
        <v>0</v>
      </c>
      <c r="AA50">
        <f t="shared" si="5"/>
        <v>0</v>
      </c>
      <c r="AB50" t="s">
        <v>512</v>
      </c>
    </row>
    <row r="51" spans="1:29" x14ac:dyDescent="0.3">
      <c r="A51" t="s">
        <v>1299</v>
      </c>
      <c r="B51" t="s">
        <v>1275</v>
      </c>
      <c r="D51" t="s">
        <v>1166</v>
      </c>
      <c r="G51" t="s">
        <v>1300</v>
      </c>
      <c r="I51" t="s">
        <v>41</v>
      </c>
      <c r="J51">
        <v>1</v>
      </c>
      <c r="K51" t="s">
        <v>86</v>
      </c>
      <c r="L51" t="s">
        <v>43</v>
      </c>
      <c r="M51" t="s">
        <v>43</v>
      </c>
      <c r="O51" t="s">
        <v>106</v>
      </c>
      <c r="V51" cm="1">
        <f t="array" ref="V51">IF(W51="",U51,_xlfn.XLOOKUP(W51,$W$3:W50,$AA$3:AA50,U51,0,-1))</f>
        <v>0</v>
      </c>
      <c r="Y51">
        <f t="shared" si="3"/>
        <v>0</v>
      </c>
      <c r="Z51">
        <f t="shared" si="4"/>
        <v>0</v>
      </c>
      <c r="AA51">
        <f t="shared" si="5"/>
        <v>0</v>
      </c>
      <c r="AB51" t="s">
        <v>535</v>
      </c>
    </row>
    <row r="52" spans="1:29" x14ac:dyDescent="0.3">
      <c r="A52" t="s">
        <v>1301</v>
      </c>
      <c r="B52" t="s">
        <v>1275</v>
      </c>
      <c r="D52" t="s">
        <v>1166</v>
      </c>
      <c r="G52" t="s">
        <v>1302</v>
      </c>
      <c r="H52" t="s">
        <v>1303</v>
      </c>
      <c r="I52" t="s">
        <v>41</v>
      </c>
      <c r="J52">
        <v>1</v>
      </c>
      <c r="K52" t="s">
        <v>86</v>
      </c>
      <c r="O52" t="s">
        <v>87</v>
      </c>
      <c r="V52" cm="1">
        <f t="array" ref="V52">IF(W52="",U52,_xlfn.XLOOKUP(W52,$W$3:W51,$AA$3:AA51,U52,0,-1))</f>
        <v>0</v>
      </c>
      <c r="Y52">
        <f t="shared" si="3"/>
        <v>0</v>
      </c>
      <c r="Z52">
        <f t="shared" si="4"/>
        <v>0</v>
      </c>
      <c r="AA52">
        <f t="shared" si="5"/>
        <v>0</v>
      </c>
      <c r="AB52" t="s">
        <v>1304</v>
      </c>
      <c r="AC52" t="s">
        <v>71</v>
      </c>
    </row>
    <row r="53" spans="1:29" x14ac:dyDescent="0.3">
      <c r="A53" t="s">
        <v>1305</v>
      </c>
      <c r="B53" t="s">
        <v>1275</v>
      </c>
      <c r="D53" t="s">
        <v>1166</v>
      </c>
      <c r="G53" t="s">
        <v>1306</v>
      </c>
      <c r="H53" t="s">
        <v>1307</v>
      </c>
      <c r="I53" t="s">
        <v>41</v>
      </c>
      <c r="J53">
        <v>1</v>
      </c>
      <c r="K53" t="s">
        <v>86</v>
      </c>
      <c r="L53" t="s">
        <v>44</v>
      </c>
      <c r="M53" t="s">
        <v>44</v>
      </c>
      <c r="N53" s="12" t="s">
        <v>547</v>
      </c>
      <c r="O53" t="s">
        <v>45</v>
      </c>
      <c r="V53" cm="1">
        <f t="array" ref="V53">IF(W53="",U53,_xlfn.XLOOKUP(W53,$W$3:W52,$AA$3:AA52,U53,0,-1))</f>
        <v>0</v>
      </c>
      <c r="Y53">
        <f t="shared" si="3"/>
        <v>0</v>
      </c>
      <c r="Z53">
        <f t="shared" si="4"/>
        <v>0</v>
      </c>
      <c r="AA53">
        <f t="shared" si="5"/>
        <v>0</v>
      </c>
    </row>
    <row r="54" spans="1:29" x14ac:dyDescent="0.3">
      <c r="A54" t="s">
        <v>1308</v>
      </c>
      <c r="B54" t="s">
        <v>1275</v>
      </c>
      <c r="D54" t="s">
        <v>1166</v>
      </c>
      <c r="G54" t="s">
        <v>1309</v>
      </c>
      <c r="H54" t="s">
        <v>1310</v>
      </c>
      <c r="I54" t="s">
        <v>41</v>
      </c>
      <c r="J54">
        <v>3</v>
      </c>
      <c r="K54" t="s">
        <v>42</v>
      </c>
      <c r="L54" t="s">
        <v>111</v>
      </c>
      <c r="M54" t="s">
        <v>111</v>
      </c>
      <c r="N54" t="s">
        <v>502</v>
      </c>
      <c r="O54" t="s">
        <v>106</v>
      </c>
      <c r="V54" cm="1">
        <f t="array" ref="V54">IF(W54="",U54,_xlfn.XLOOKUP(W54,$W$3:W53,$AA$3:AA53,U54,0,-1))</f>
        <v>0</v>
      </c>
      <c r="Y54">
        <f t="shared" si="3"/>
        <v>0</v>
      </c>
      <c r="Z54">
        <f t="shared" si="4"/>
        <v>0</v>
      </c>
      <c r="AA54">
        <f t="shared" si="5"/>
        <v>0</v>
      </c>
      <c r="AB54" t="s">
        <v>516</v>
      </c>
      <c r="AC54" t="s">
        <v>77</v>
      </c>
    </row>
    <row r="55" spans="1:29" x14ac:dyDescent="0.3">
      <c r="A55" t="s">
        <v>1311</v>
      </c>
      <c r="B55" t="s">
        <v>1275</v>
      </c>
      <c r="D55" t="s">
        <v>1166</v>
      </c>
      <c r="G55" t="s">
        <v>1312</v>
      </c>
      <c r="I55" t="s">
        <v>41</v>
      </c>
      <c r="J55">
        <v>3</v>
      </c>
      <c r="K55" t="s">
        <v>42</v>
      </c>
      <c r="L55" t="s">
        <v>43</v>
      </c>
      <c r="M55" t="s">
        <v>43</v>
      </c>
      <c r="O55" t="s">
        <v>106</v>
      </c>
      <c r="V55" cm="1">
        <f t="array" ref="V55">IF(W55="",U55,_xlfn.XLOOKUP(W55,$W$3:W54,$AA$3:AA54,U55,0,-1))</f>
        <v>0</v>
      </c>
      <c r="Y55">
        <f t="shared" si="3"/>
        <v>0</v>
      </c>
      <c r="Z55">
        <f t="shared" si="4"/>
        <v>0</v>
      </c>
      <c r="AA55">
        <f t="shared" si="5"/>
        <v>0</v>
      </c>
      <c r="AB55" t="s">
        <v>530</v>
      </c>
      <c r="AC55" t="s">
        <v>516</v>
      </c>
    </row>
    <row r="56" spans="1:29" x14ac:dyDescent="0.3">
      <c r="A56" t="s">
        <v>1313</v>
      </c>
      <c r="B56" t="s">
        <v>1275</v>
      </c>
      <c r="D56" t="s">
        <v>1166</v>
      </c>
      <c r="G56" s="102" t="s">
        <v>1314</v>
      </c>
      <c r="H56" s="102"/>
      <c r="I56" s="102" t="s">
        <v>41</v>
      </c>
      <c r="J56" s="102">
        <v>4</v>
      </c>
      <c r="K56" s="102"/>
      <c r="L56" s="102"/>
      <c r="M56" s="102"/>
      <c r="N56" s="102"/>
      <c r="O56" s="102"/>
      <c r="V56" cm="1">
        <f t="array" ref="V56">IF(W56="",U56,_xlfn.XLOOKUP(W56,$W$3:W55,$AA$3:AA55,U56,0,-1))</f>
        <v>0</v>
      </c>
      <c r="Y56">
        <f t="shared" si="3"/>
        <v>0</v>
      </c>
      <c r="Z56">
        <f t="shared" si="4"/>
        <v>0</v>
      </c>
      <c r="AA56">
        <f t="shared" si="5"/>
        <v>0</v>
      </c>
    </row>
    <row r="57" spans="1:29" x14ac:dyDescent="0.3">
      <c r="A57" t="s">
        <v>1315</v>
      </c>
      <c r="B57" t="s">
        <v>1275</v>
      </c>
      <c r="D57" t="s">
        <v>1166</v>
      </c>
      <c r="G57" t="s">
        <v>1316</v>
      </c>
      <c r="H57" t="s">
        <v>1317</v>
      </c>
      <c r="I57" t="s">
        <v>41</v>
      </c>
      <c r="J57">
        <v>1</v>
      </c>
      <c r="K57" t="s">
        <v>53</v>
      </c>
      <c r="L57" t="s">
        <v>43</v>
      </c>
      <c r="M57" t="s">
        <v>44</v>
      </c>
      <c r="O57" t="s">
        <v>106</v>
      </c>
      <c r="V57" cm="1">
        <f t="array" ref="V57">IF(W57="",U57,_xlfn.XLOOKUP(W57,$W$3:W56,$AA$3:AA56,U57,0,-1))</f>
        <v>0</v>
      </c>
      <c r="Y57">
        <f t="shared" si="3"/>
        <v>0</v>
      </c>
      <c r="Z57">
        <f t="shared" si="4"/>
        <v>0</v>
      </c>
      <c r="AA57">
        <f t="shared" si="5"/>
        <v>0</v>
      </c>
    </row>
    <row r="58" spans="1:29" x14ac:dyDescent="0.3">
      <c r="A58" t="s">
        <v>1318</v>
      </c>
      <c r="B58" t="s">
        <v>1275</v>
      </c>
      <c r="D58" t="s">
        <v>1166</v>
      </c>
      <c r="G58" t="s">
        <v>1319</v>
      </c>
      <c r="H58" t="s">
        <v>1320</v>
      </c>
      <c r="I58" t="s">
        <v>41</v>
      </c>
      <c r="J58">
        <v>1</v>
      </c>
      <c r="K58" t="s">
        <v>86</v>
      </c>
      <c r="L58" t="s">
        <v>44</v>
      </c>
      <c r="M58" t="s">
        <v>44</v>
      </c>
      <c r="O58" t="s">
        <v>45</v>
      </c>
      <c r="V58" cm="1">
        <f t="array" ref="V58">IF(W58="",U58,_xlfn.XLOOKUP(W58,$W$3:W57,$AA$3:AA57,U58,0,-1))</f>
        <v>0</v>
      </c>
      <c r="Y58">
        <f t="shared" si="3"/>
        <v>0</v>
      </c>
      <c r="Z58">
        <f t="shared" si="4"/>
        <v>0</v>
      </c>
      <c r="AA58">
        <f t="shared" si="5"/>
        <v>0</v>
      </c>
      <c r="AB58" t="s">
        <v>1304</v>
      </c>
      <c r="AC58" t="s">
        <v>71</v>
      </c>
    </row>
    <row r="59" spans="1:29" x14ac:dyDescent="0.3">
      <c r="A59" t="s">
        <v>1321</v>
      </c>
      <c r="B59" t="s">
        <v>1275</v>
      </c>
      <c r="D59" t="s">
        <v>1166</v>
      </c>
      <c r="G59" s="102" t="s">
        <v>1322</v>
      </c>
      <c r="H59" s="102"/>
      <c r="I59" s="102" t="s">
        <v>41</v>
      </c>
      <c r="J59" s="102">
        <v>1</v>
      </c>
      <c r="K59" s="102" t="s">
        <v>42</v>
      </c>
      <c r="L59" s="102"/>
      <c r="M59" s="102"/>
      <c r="N59" s="102"/>
      <c r="O59" s="102"/>
      <c r="V59" cm="1">
        <f t="array" ref="V59">IF(W59="",U59,_xlfn.XLOOKUP(W59,$W$3:W58,$AA$3:AA58,U59,0,-1))</f>
        <v>0</v>
      </c>
      <c r="Y59">
        <f t="shared" si="3"/>
        <v>0</v>
      </c>
      <c r="Z59">
        <f t="shared" si="4"/>
        <v>0</v>
      </c>
      <c r="AA59">
        <f t="shared" si="5"/>
        <v>0</v>
      </c>
    </row>
    <row r="60" spans="1:29" x14ac:dyDescent="0.3">
      <c r="A60" t="s">
        <v>1323</v>
      </c>
      <c r="B60" t="s">
        <v>1275</v>
      </c>
      <c r="D60" t="s">
        <v>1166</v>
      </c>
      <c r="G60" t="s">
        <v>1324</v>
      </c>
      <c r="I60" t="s">
        <v>41</v>
      </c>
      <c r="J60">
        <v>1</v>
      </c>
      <c r="K60" t="s">
        <v>53</v>
      </c>
      <c r="L60" t="s">
        <v>44</v>
      </c>
      <c r="M60" t="s">
        <v>44</v>
      </c>
      <c r="O60" t="s">
        <v>106</v>
      </c>
      <c r="V60" cm="1">
        <f t="array" ref="V60">IF(W60="",U60,_xlfn.XLOOKUP(W60,$W$3:W59,$AA$3:AA59,U60,0,-1))</f>
        <v>0</v>
      </c>
      <c r="Y60">
        <f t="shared" si="3"/>
        <v>0</v>
      </c>
      <c r="Z60">
        <f t="shared" si="4"/>
        <v>0</v>
      </c>
      <c r="AA60">
        <f t="shared" si="5"/>
        <v>0</v>
      </c>
      <c r="AB60" t="s">
        <v>77</v>
      </c>
      <c r="AC60" t="s">
        <v>1189</v>
      </c>
    </row>
    <row r="61" spans="1:29" x14ac:dyDescent="0.3">
      <c r="A61" t="s">
        <v>1325</v>
      </c>
      <c r="B61" t="s">
        <v>1275</v>
      </c>
      <c r="D61" t="s">
        <v>1166</v>
      </c>
      <c r="G61" t="s">
        <v>1326</v>
      </c>
      <c r="H61" t="s">
        <v>1327</v>
      </c>
      <c r="I61" t="s">
        <v>41</v>
      </c>
      <c r="J61">
        <v>2</v>
      </c>
      <c r="K61" t="s">
        <v>86</v>
      </c>
      <c r="L61" t="s">
        <v>44</v>
      </c>
      <c r="M61" t="s">
        <v>44</v>
      </c>
      <c r="O61" t="s">
        <v>106</v>
      </c>
      <c r="V61" cm="1">
        <f t="array" ref="V61">IF(W61="",U61,_xlfn.XLOOKUP(W61,$W$3:W60,$AA$3:AA60,U61,0,-1))</f>
        <v>0</v>
      </c>
      <c r="Y61">
        <f t="shared" si="3"/>
        <v>0</v>
      </c>
      <c r="Z61">
        <f t="shared" si="4"/>
        <v>0</v>
      </c>
      <c r="AA61">
        <f t="shared" si="5"/>
        <v>0</v>
      </c>
      <c r="AB61" t="s">
        <v>77</v>
      </c>
      <c r="AC61" t="s">
        <v>1189</v>
      </c>
    </row>
    <row r="62" spans="1:29" x14ac:dyDescent="0.3">
      <c r="A62" t="s">
        <v>1328</v>
      </c>
      <c r="B62" t="s">
        <v>1275</v>
      </c>
      <c r="D62" t="s">
        <v>1166</v>
      </c>
      <c r="G62" s="102" t="s">
        <v>1329</v>
      </c>
      <c r="H62" s="102"/>
      <c r="I62" s="102" t="s">
        <v>41</v>
      </c>
      <c r="J62" s="102"/>
      <c r="K62" s="102"/>
      <c r="L62" s="102"/>
      <c r="M62" s="102"/>
      <c r="N62" s="102" t="s">
        <v>1330</v>
      </c>
      <c r="O62" s="102"/>
      <c r="V62" cm="1">
        <f t="array" ref="V62">IF(W62="",U62,_xlfn.XLOOKUP(W62,$W$3:W61,$AA$3:AA61,U62,0,-1))</f>
        <v>0</v>
      </c>
      <c r="Y62">
        <f t="shared" si="3"/>
        <v>0</v>
      </c>
      <c r="Z62">
        <f t="shared" si="4"/>
        <v>0</v>
      </c>
      <c r="AA62">
        <f t="shared" si="5"/>
        <v>0</v>
      </c>
      <c r="AB62" t="s">
        <v>1331</v>
      </c>
    </row>
    <row r="63" spans="1:29" x14ac:dyDescent="0.3">
      <c r="A63" t="s">
        <v>1332</v>
      </c>
      <c r="B63" t="s">
        <v>1275</v>
      </c>
      <c r="D63" t="s">
        <v>1166</v>
      </c>
      <c r="G63" t="s">
        <v>1333</v>
      </c>
      <c r="H63" t="s">
        <v>1334</v>
      </c>
      <c r="I63" t="s">
        <v>41</v>
      </c>
      <c r="O63" t="s">
        <v>157</v>
      </c>
      <c r="V63" cm="1">
        <f t="array" ref="V63">IF(W63="",U63,_xlfn.XLOOKUP(W63,$W$3:W62,$AA$3:AA62,U63,0,-1))</f>
        <v>0</v>
      </c>
      <c r="Y63">
        <f t="shared" si="3"/>
        <v>0</v>
      </c>
      <c r="Z63">
        <f t="shared" si="4"/>
        <v>0</v>
      </c>
      <c r="AA63">
        <f t="shared" si="5"/>
        <v>0</v>
      </c>
    </row>
    <row r="64" spans="1:29" x14ac:dyDescent="0.3">
      <c r="A64" t="s">
        <v>1335</v>
      </c>
      <c r="B64" t="s">
        <v>1275</v>
      </c>
      <c r="D64" t="s">
        <v>1166</v>
      </c>
      <c r="G64" t="s">
        <v>1336</v>
      </c>
      <c r="H64" t="s">
        <v>1337</v>
      </c>
      <c r="I64" t="s">
        <v>41</v>
      </c>
      <c r="K64" t="s">
        <v>53</v>
      </c>
      <c r="L64" t="s">
        <v>43</v>
      </c>
      <c r="M64" t="s">
        <v>43</v>
      </c>
      <c r="N64" t="s">
        <v>1338</v>
      </c>
      <c r="O64" t="s">
        <v>106</v>
      </c>
      <c r="V64" cm="1">
        <f t="array" ref="V64">IF(W64="",U64,_xlfn.XLOOKUP(W64,$W$3:W63,$AA$3:AA63,U64,0,-1))</f>
        <v>0</v>
      </c>
      <c r="Y64">
        <f t="shared" si="3"/>
        <v>0</v>
      </c>
      <c r="Z64">
        <f t="shared" si="4"/>
        <v>0</v>
      </c>
      <c r="AA64">
        <f t="shared" si="5"/>
        <v>0</v>
      </c>
      <c r="AB64" t="s">
        <v>77</v>
      </c>
    </row>
    <row r="65" spans="1:29" ht="15.6" customHeight="1" x14ac:dyDescent="0.3">
      <c r="B65" t="s">
        <v>1275</v>
      </c>
      <c r="D65" t="s">
        <v>1166</v>
      </c>
      <c r="G65" t="s">
        <v>1339</v>
      </c>
      <c r="I65" t="s">
        <v>52</v>
      </c>
      <c r="K65" t="s">
        <v>42</v>
      </c>
      <c r="L65" t="s">
        <v>111</v>
      </c>
      <c r="M65" t="s">
        <v>111</v>
      </c>
      <c r="O65" t="s">
        <v>106</v>
      </c>
      <c r="V65" cm="1">
        <f t="array" ref="V65">IF(W65="",U65,_xlfn.XLOOKUP(W65,$W$3:W64,$AA$3:AA64,U65,0,-1))</f>
        <v>0</v>
      </c>
      <c r="Y65">
        <f t="shared" si="3"/>
        <v>0</v>
      </c>
      <c r="Z65">
        <f t="shared" si="4"/>
        <v>0</v>
      </c>
      <c r="AA65">
        <f t="shared" si="5"/>
        <v>0</v>
      </c>
      <c r="AB65" t="s">
        <v>1340</v>
      </c>
      <c r="AC65" t="s">
        <v>1341</v>
      </c>
    </row>
    <row r="66" spans="1:29" ht="14.4" customHeight="1" x14ac:dyDescent="0.3">
      <c r="B66" t="s">
        <v>1275</v>
      </c>
      <c r="D66" t="s">
        <v>1166</v>
      </c>
      <c r="G66" t="s">
        <v>1342</v>
      </c>
      <c r="I66" t="s">
        <v>52</v>
      </c>
      <c r="K66" t="s">
        <v>86</v>
      </c>
      <c r="L66" t="s">
        <v>43</v>
      </c>
      <c r="M66" t="s">
        <v>43</v>
      </c>
      <c r="O66" t="s">
        <v>119</v>
      </c>
      <c r="V66" cm="1">
        <f t="array" ref="V66">IF(W66="",U66,_xlfn.XLOOKUP(W66,$W$3:W65,$AA$3:AA65,U66,0,-1))</f>
        <v>0</v>
      </c>
      <c r="Y66">
        <f t="shared" si="3"/>
        <v>0</v>
      </c>
      <c r="Z66">
        <f t="shared" si="4"/>
        <v>0</v>
      </c>
      <c r="AA66">
        <f t="shared" si="5"/>
        <v>0</v>
      </c>
      <c r="AB66" t="s">
        <v>1343</v>
      </c>
      <c r="AC66" t="s">
        <v>77</v>
      </c>
    </row>
    <row r="67" spans="1:29" ht="13.35" customHeight="1" x14ac:dyDescent="0.3">
      <c r="B67" t="s">
        <v>1275</v>
      </c>
      <c r="D67" t="s">
        <v>1166</v>
      </c>
      <c r="G67" t="s">
        <v>1344</v>
      </c>
      <c r="H67" t="s">
        <v>1345</v>
      </c>
      <c r="I67" t="s">
        <v>52</v>
      </c>
      <c r="K67" t="s">
        <v>86</v>
      </c>
      <c r="L67" t="s">
        <v>43</v>
      </c>
      <c r="M67" t="s">
        <v>43</v>
      </c>
      <c r="O67" t="s">
        <v>119</v>
      </c>
      <c r="V67" cm="1">
        <f t="array" ref="V67">IF(W67="",U67,_xlfn.XLOOKUP(W67,$W$3:W66,$AA$3:AA66,U67,0,-1))</f>
        <v>0</v>
      </c>
      <c r="Y67">
        <f t="shared" ref="Y67:Y98" si="6">(R67-S67)*X67*U67</f>
        <v>0</v>
      </c>
      <c r="Z67">
        <f t="shared" ref="Z67:Z98" si="7">(R67-S67)*X67*V67</f>
        <v>0</v>
      </c>
      <c r="AA67">
        <f t="shared" ref="AA67:AA98" si="8">V67-Z67</f>
        <v>0</v>
      </c>
      <c r="AB67" t="s">
        <v>77</v>
      </c>
      <c r="AC67" t="s">
        <v>1331</v>
      </c>
    </row>
    <row r="68" spans="1:29" ht="14.1" customHeight="1" x14ac:dyDescent="0.3">
      <c r="B68" t="s">
        <v>1275</v>
      </c>
      <c r="D68" t="s">
        <v>1166</v>
      </c>
      <c r="G68" t="s">
        <v>1346</v>
      </c>
      <c r="I68" t="s">
        <v>52</v>
      </c>
      <c r="K68" t="s">
        <v>53</v>
      </c>
      <c r="L68" t="s">
        <v>44</v>
      </c>
      <c r="M68" t="s">
        <v>44</v>
      </c>
      <c r="O68" t="s">
        <v>106</v>
      </c>
      <c r="V68" cm="1">
        <f t="array" ref="V68">IF(W68="",U68,_xlfn.XLOOKUP(W68,$W$3:W67,$AA$3:AA67,U68,0,-1))</f>
        <v>0</v>
      </c>
      <c r="Y68">
        <f t="shared" si="6"/>
        <v>0</v>
      </c>
      <c r="Z68">
        <f t="shared" si="7"/>
        <v>0</v>
      </c>
      <c r="AA68">
        <f t="shared" si="8"/>
        <v>0</v>
      </c>
      <c r="AB68" t="s">
        <v>77</v>
      </c>
      <c r="AC68" t="s">
        <v>512</v>
      </c>
    </row>
    <row r="69" spans="1:29" ht="13.35" customHeight="1" x14ac:dyDescent="0.3">
      <c r="B69" t="s">
        <v>1275</v>
      </c>
      <c r="D69" t="s">
        <v>1166</v>
      </c>
      <c r="G69" t="s">
        <v>1347</v>
      </c>
      <c r="I69" t="s">
        <v>52</v>
      </c>
      <c r="K69" t="s">
        <v>53</v>
      </c>
      <c r="L69" t="s">
        <v>43</v>
      </c>
      <c r="M69" t="s">
        <v>43</v>
      </c>
      <c r="O69" t="s">
        <v>106</v>
      </c>
      <c r="V69" cm="1">
        <f t="array" ref="V69">IF(W69="",U69,_xlfn.XLOOKUP(W69,$W$3:W68,$AA$3:AA68,U69,0,-1))</f>
        <v>0</v>
      </c>
      <c r="Y69">
        <f t="shared" si="6"/>
        <v>0</v>
      </c>
      <c r="Z69">
        <f t="shared" si="7"/>
        <v>0</v>
      </c>
      <c r="AA69">
        <f t="shared" si="8"/>
        <v>0</v>
      </c>
      <c r="AB69" t="s">
        <v>77</v>
      </c>
    </row>
    <row r="70" spans="1:29" ht="14.4" customHeight="1" x14ac:dyDescent="0.3">
      <c r="B70" t="s">
        <v>1275</v>
      </c>
      <c r="D70" t="s">
        <v>1166</v>
      </c>
      <c r="G70" t="s">
        <v>1348</v>
      </c>
      <c r="I70" t="s">
        <v>52</v>
      </c>
      <c r="K70" t="s">
        <v>86</v>
      </c>
      <c r="L70" t="s">
        <v>43</v>
      </c>
      <c r="M70" t="s">
        <v>43</v>
      </c>
      <c r="O70" t="s">
        <v>106</v>
      </c>
      <c r="V70" cm="1">
        <f t="array" ref="V70">IF(W70="",U70,_xlfn.XLOOKUP(W70,$W$3:W69,$AA$3:AA69,U70,0,-1))</f>
        <v>0</v>
      </c>
      <c r="Y70">
        <f t="shared" si="6"/>
        <v>0</v>
      </c>
      <c r="Z70">
        <f t="shared" si="7"/>
        <v>0</v>
      </c>
      <c r="AA70">
        <f t="shared" si="8"/>
        <v>0</v>
      </c>
      <c r="AB70" t="s">
        <v>77</v>
      </c>
      <c r="AC70" t="s">
        <v>516</v>
      </c>
    </row>
    <row r="71" spans="1:29" x14ac:dyDescent="0.3">
      <c r="B71" t="s">
        <v>1275</v>
      </c>
      <c r="D71" t="s">
        <v>1166</v>
      </c>
      <c r="G71" t="s">
        <v>1349</v>
      </c>
      <c r="I71" t="s">
        <v>41</v>
      </c>
      <c r="K71" t="s">
        <v>53</v>
      </c>
      <c r="L71" t="s">
        <v>44</v>
      </c>
      <c r="M71" t="s">
        <v>44</v>
      </c>
      <c r="O71" t="s">
        <v>106</v>
      </c>
      <c r="V71" cm="1">
        <f t="array" ref="V71">IF(W71="",U71,_xlfn.XLOOKUP(W71,$W$3:W70,$AA$3:AA70,U71,0,-1))</f>
        <v>0</v>
      </c>
      <c r="Y71">
        <f t="shared" si="6"/>
        <v>0</v>
      </c>
      <c r="Z71">
        <f t="shared" si="7"/>
        <v>0</v>
      </c>
      <c r="AA71">
        <f t="shared" si="8"/>
        <v>0</v>
      </c>
      <c r="AB71" t="s">
        <v>77</v>
      </c>
      <c r="AC71" t="s">
        <v>512</v>
      </c>
    </row>
    <row r="72" spans="1:29" x14ac:dyDescent="0.3">
      <c r="B72" t="s">
        <v>1275</v>
      </c>
      <c r="D72" t="s">
        <v>1166</v>
      </c>
      <c r="G72" t="s">
        <v>1350</v>
      </c>
      <c r="H72" t="s">
        <v>1351</v>
      </c>
      <c r="I72" t="s">
        <v>41</v>
      </c>
      <c r="K72" t="s">
        <v>53</v>
      </c>
      <c r="L72" t="s">
        <v>44</v>
      </c>
      <c r="M72" t="s">
        <v>44</v>
      </c>
      <c r="O72" t="s">
        <v>45</v>
      </c>
      <c r="V72" cm="1">
        <f t="array" ref="V72">IF(W72="",U72,_xlfn.XLOOKUP(W72,$W$3:W71,$AA$3:AA71,U72,0,-1))</f>
        <v>0</v>
      </c>
      <c r="Y72">
        <f t="shared" si="6"/>
        <v>0</v>
      </c>
      <c r="Z72">
        <f t="shared" si="7"/>
        <v>0</v>
      </c>
      <c r="AA72">
        <f t="shared" si="8"/>
        <v>0</v>
      </c>
      <c r="AB72" t="s">
        <v>1352</v>
      </c>
      <c r="AC72" t="s">
        <v>77</v>
      </c>
    </row>
    <row r="73" spans="1:29" x14ac:dyDescent="0.3">
      <c r="B73" t="s">
        <v>1275</v>
      </c>
      <c r="D73" t="s">
        <v>1166</v>
      </c>
      <c r="G73" t="s">
        <v>1353</v>
      </c>
      <c r="I73" t="s">
        <v>41</v>
      </c>
      <c r="K73" t="s">
        <v>53</v>
      </c>
      <c r="L73" t="s">
        <v>44</v>
      </c>
      <c r="M73" t="s">
        <v>44</v>
      </c>
      <c r="O73" t="s">
        <v>45</v>
      </c>
      <c r="V73" cm="1">
        <f t="array" ref="V73">IF(W73="",U73,_xlfn.XLOOKUP(W73,$W$3:W72,$AA$3:AA72,U73,0,-1))</f>
        <v>0</v>
      </c>
      <c r="Y73">
        <f t="shared" si="6"/>
        <v>0</v>
      </c>
      <c r="Z73">
        <f t="shared" si="7"/>
        <v>0</v>
      </c>
      <c r="AA73">
        <f t="shared" si="8"/>
        <v>0</v>
      </c>
    </row>
    <row r="74" spans="1:29" x14ac:dyDescent="0.3">
      <c r="B74" t="s">
        <v>1275</v>
      </c>
      <c r="D74" t="s">
        <v>1166</v>
      </c>
      <c r="G74" t="s">
        <v>1354</v>
      </c>
      <c r="I74" t="s">
        <v>41</v>
      </c>
      <c r="K74" t="s">
        <v>53</v>
      </c>
      <c r="L74" t="s">
        <v>44</v>
      </c>
      <c r="M74" t="s">
        <v>44</v>
      </c>
      <c r="O74" t="s">
        <v>45</v>
      </c>
      <c r="V74" cm="1">
        <f t="array" ref="V74">IF(W74="",U74,_xlfn.XLOOKUP(W74,$W$3:W73,$AA$3:AA73,U74,0,-1))</f>
        <v>0</v>
      </c>
      <c r="Y74">
        <f t="shared" si="6"/>
        <v>0</v>
      </c>
      <c r="Z74">
        <f t="shared" si="7"/>
        <v>0</v>
      </c>
      <c r="AA74">
        <f t="shared" si="8"/>
        <v>0</v>
      </c>
    </row>
    <row r="75" spans="1:29" x14ac:dyDescent="0.3">
      <c r="B75" t="s">
        <v>1275</v>
      </c>
      <c r="D75" t="s">
        <v>1166</v>
      </c>
      <c r="G75" t="s">
        <v>1355</v>
      </c>
      <c r="H75" t="s">
        <v>1356</v>
      </c>
      <c r="I75" t="s">
        <v>41</v>
      </c>
      <c r="J75">
        <v>2</v>
      </c>
      <c r="K75" t="s">
        <v>53</v>
      </c>
      <c r="L75" t="s">
        <v>44</v>
      </c>
      <c r="M75" t="s">
        <v>44</v>
      </c>
      <c r="N75" t="s">
        <v>547</v>
      </c>
      <c r="O75" t="s">
        <v>106</v>
      </c>
      <c r="V75" cm="1">
        <f t="array" ref="V75">IF(W75="",U75,_xlfn.XLOOKUP(W75,$W$3:W74,$AA$3:AA74,U75,0,-1))</f>
        <v>0</v>
      </c>
      <c r="Y75">
        <f t="shared" si="6"/>
        <v>0</v>
      </c>
      <c r="Z75">
        <f t="shared" si="7"/>
        <v>0</v>
      </c>
      <c r="AA75">
        <f t="shared" si="8"/>
        <v>0</v>
      </c>
    </row>
    <row r="76" spans="1:29" x14ac:dyDescent="0.3">
      <c r="A76" t="s">
        <v>1357</v>
      </c>
      <c r="B76" t="s">
        <v>1358</v>
      </c>
      <c r="D76" t="s">
        <v>1166</v>
      </c>
      <c r="G76" t="s">
        <v>1359</v>
      </c>
      <c r="H76" t="s">
        <v>1360</v>
      </c>
      <c r="I76" t="s">
        <v>41</v>
      </c>
      <c r="J76">
        <v>6</v>
      </c>
      <c r="K76" t="s">
        <v>86</v>
      </c>
      <c r="L76" t="s">
        <v>44</v>
      </c>
      <c r="M76" t="s">
        <v>44</v>
      </c>
      <c r="O76" t="s">
        <v>45</v>
      </c>
      <c r="V76" cm="1">
        <f t="array" ref="V76">IF(W76="",U76,_xlfn.XLOOKUP(W76,$W$3:W75,$AA$3:AA75,U76,0,-1))</f>
        <v>0</v>
      </c>
      <c r="Y76">
        <f t="shared" si="6"/>
        <v>0</v>
      </c>
      <c r="Z76">
        <f t="shared" si="7"/>
        <v>0</v>
      </c>
      <c r="AA76">
        <f t="shared" si="8"/>
        <v>0</v>
      </c>
    </row>
    <row r="77" spans="1:29" x14ac:dyDescent="0.3">
      <c r="A77" t="s">
        <v>1361</v>
      </c>
      <c r="B77" t="s">
        <v>1358</v>
      </c>
      <c r="D77" t="s">
        <v>1166</v>
      </c>
      <c r="G77" t="s">
        <v>1362</v>
      </c>
      <c r="I77" t="s">
        <v>41</v>
      </c>
      <c r="J77">
        <v>1</v>
      </c>
      <c r="K77" t="s">
        <v>42</v>
      </c>
      <c r="L77" t="s">
        <v>44</v>
      </c>
      <c r="M77" t="s">
        <v>44</v>
      </c>
      <c r="O77" t="s">
        <v>45</v>
      </c>
      <c r="V77" cm="1">
        <f t="array" ref="V77">IF(W77="",U77,_xlfn.XLOOKUP(W77,$W$3:W76,$AA$3:AA76,U77,0,-1))</f>
        <v>0</v>
      </c>
      <c r="Y77">
        <f t="shared" si="6"/>
        <v>0</v>
      </c>
      <c r="Z77">
        <f t="shared" si="7"/>
        <v>0</v>
      </c>
      <c r="AA77">
        <f t="shared" si="8"/>
        <v>0</v>
      </c>
    </row>
    <row r="78" spans="1:29" x14ac:dyDescent="0.3">
      <c r="A78" t="s">
        <v>1363</v>
      </c>
      <c r="B78" t="s">
        <v>1358</v>
      </c>
      <c r="D78" t="s">
        <v>1166</v>
      </c>
      <c r="G78" t="s">
        <v>1364</v>
      </c>
      <c r="H78" t="s">
        <v>1360</v>
      </c>
      <c r="I78" t="s">
        <v>41</v>
      </c>
      <c r="J78">
        <v>0</v>
      </c>
      <c r="K78" t="s">
        <v>86</v>
      </c>
      <c r="L78" t="s">
        <v>44</v>
      </c>
      <c r="M78" t="s">
        <v>44</v>
      </c>
      <c r="O78" t="s">
        <v>45</v>
      </c>
      <c r="V78" cm="1">
        <f t="array" ref="V78">IF(W78="",U78,_xlfn.XLOOKUP(W78,$W$3:W77,$AA$3:AA77,U78,0,-1))</f>
        <v>0</v>
      </c>
      <c r="Y78">
        <f t="shared" si="6"/>
        <v>0</v>
      </c>
      <c r="Z78">
        <f t="shared" si="7"/>
        <v>0</v>
      </c>
      <c r="AA78">
        <f t="shared" si="8"/>
        <v>0</v>
      </c>
    </row>
    <row r="79" spans="1:29" x14ac:dyDescent="0.3">
      <c r="A79" t="s">
        <v>1365</v>
      </c>
      <c r="B79" t="s">
        <v>1358</v>
      </c>
      <c r="D79" t="s">
        <v>1166</v>
      </c>
      <c r="G79" t="s">
        <v>1366</v>
      </c>
      <c r="I79" t="s">
        <v>41</v>
      </c>
      <c r="J79">
        <v>0</v>
      </c>
      <c r="K79" t="s">
        <v>53</v>
      </c>
      <c r="L79" t="s">
        <v>44</v>
      </c>
      <c r="M79" t="s">
        <v>44</v>
      </c>
      <c r="O79" t="s">
        <v>45</v>
      </c>
      <c r="V79" cm="1">
        <f t="array" ref="V79">IF(W79="",U79,_xlfn.XLOOKUP(W79,$W$3:W78,$AA$3:AA78,U79,0,-1))</f>
        <v>0</v>
      </c>
      <c r="Y79">
        <f t="shared" si="6"/>
        <v>0</v>
      </c>
      <c r="Z79">
        <f t="shared" si="7"/>
        <v>0</v>
      </c>
      <c r="AA79">
        <f t="shared" si="8"/>
        <v>0</v>
      </c>
    </row>
    <row r="80" spans="1:29" x14ac:dyDescent="0.3">
      <c r="A80" t="s">
        <v>1367</v>
      </c>
      <c r="B80" t="s">
        <v>1358</v>
      </c>
      <c r="D80" t="s">
        <v>1166</v>
      </c>
      <c r="G80" t="s">
        <v>1368</v>
      </c>
      <c r="H80" t="s">
        <v>1369</v>
      </c>
      <c r="I80" t="s">
        <v>41</v>
      </c>
      <c r="J80">
        <v>2</v>
      </c>
      <c r="K80" t="s">
        <v>86</v>
      </c>
      <c r="L80" t="s">
        <v>44</v>
      </c>
      <c r="M80" t="s">
        <v>44</v>
      </c>
      <c r="O80" t="s">
        <v>45</v>
      </c>
      <c r="V80" cm="1">
        <f t="array" ref="V80">IF(W80="",U80,_xlfn.XLOOKUP(W80,$W$3:W79,$AA$3:AA79,U80,0,-1))</f>
        <v>0</v>
      </c>
      <c r="Y80">
        <f t="shared" si="6"/>
        <v>0</v>
      </c>
      <c r="Z80">
        <f t="shared" si="7"/>
        <v>0</v>
      </c>
      <c r="AA80">
        <f t="shared" si="8"/>
        <v>0</v>
      </c>
    </row>
    <row r="81" spans="1:29" x14ac:dyDescent="0.3">
      <c r="A81" t="s">
        <v>1370</v>
      </c>
      <c r="B81" t="s">
        <v>1358</v>
      </c>
      <c r="D81" t="s">
        <v>1166</v>
      </c>
      <c r="G81" t="s">
        <v>1371</v>
      </c>
      <c r="I81" t="s">
        <v>41</v>
      </c>
      <c r="J81">
        <v>2</v>
      </c>
      <c r="K81" t="s">
        <v>86</v>
      </c>
      <c r="L81" t="s">
        <v>44</v>
      </c>
      <c r="M81" t="s">
        <v>44</v>
      </c>
      <c r="O81" t="s">
        <v>119</v>
      </c>
      <c r="V81" cm="1">
        <f t="array" ref="V81">IF(W81="",U81,_xlfn.XLOOKUP(W81,$W$3:W80,$AA$3:AA80,U81,0,-1))</f>
        <v>0</v>
      </c>
      <c r="Y81">
        <f t="shared" si="6"/>
        <v>0</v>
      </c>
      <c r="Z81">
        <f t="shared" si="7"/>
        <v>0</v>
      </c>
      <c r="AA81">
        <f t="shared" si="8"/>
        <v>0</v>
      </c>
    </row>
    <row r="82" spans="1:29" x14ac:dyDescent="0.3">
      <c r="A82" t="s">
        <v>1372</v>
      </c>
      <c r="B82" t="s">
        <v>1358</v>
      </c>
      <c r="D82" t="s">
        <v>1166</v>
      </c>
      <c r="G82" t="s">
        <v>1373</v>
      </c>
      <c r="H82" t="s">
        <v>1374</v>
      </c>
      <c r="I82" t="s">
        <v>41</v>
      </c>
      <c r="J82">
        <v>0</v>
      </c>
      <c r="O82" t="s">
        <v>119</v>
      </c>
      <c r="V82" cm="1">
        <f t="array" ref="V82">IF(W82="",U82,_xlfn.XLOOKUP(W82,$W$3:W81,$AA$3:AA81,U82,0,-1))</f>
        <v>0</v>
      </c>
      <c r="Y82">
        <f t="shared" si="6"/>
        <v>0</v>
      </c>
      <c r="Z82">
        <f t="shared" si="7"/>
        <v>0</v>
      </c>
      <c r="AA82">
        <f t="shared" si="8"/>
        <v>0</v>
      </c>
    </row>
    <row r="83" spans="1:29" x14ac:dyDescent="0.3">
      <c r="A83" t="s">
        <v>1375</v>
      </c>
      <c r="B83" t="s">
        <v>1358</v>
      </c>
      <c r="D83" t="s">
        <v>1166</v>
      </c>
      <c r="G83" t="s">
        <v>1376</v>
      </c>
      <c r="I83" t="s">
        <v>41</v>
      </c>
      <c r="J83">
        <v>0</v>
      </c>
      <c r="K83" t="s">
        <v>86</v>
      </c>
      <c r="L83" t="s">
        <v>44</v>
      </c>
      <c r="M83" t="s">
        <v>44</v>
      </c>
      <c r="O83" t="s">
        <v>45</v>
      </c>
      <c r="V83" cm="1">
        <f t="array" ref="V83">IF(W83="",U83,_xlfn.XLOOKUP(W83,$W$3:W82,$AA$3:AA82,U83,0,-1))</f>
        <v>0</v>
      </c>
      <c r="Y83">
        <f t="shared" si="6"/>
        <v>0</v>
      </c>
      <c r="Z83">
        <f t="shared" si="7"/>
        <v>0</v>
      </c>
      <c r="AA83">
        <f t="shared" si="8"/>
        <v>0</v>
      </c>
    </row>
    <row r="84" spans="1:29" x14ac:dyDescent="0.3">
      <c r="A84" t="s">
        <v>1377</v>
      </c>
      <c r="B84" t="s">
        <v>1358</v>
      </c>
      <c r="D84" t="s">
        <v>1166</v>
      </c>
      <c r="G84" t="s">
        <v>1378</v>
      </c>
      <c r="H84" t="s">
        <v>1379</v>
      </c>
      <c r="I84" t="s">
        <v>41</v>
      </c>
      <c r="J84">
        <v>5</v>
      </c>
      <c r="K84" t="s">
        <v>42</v>
      </c>
      <c r="L84" t="s">
        <v>44</v>
      </c>
      <c r="M84" t="s">
        <v>44</v>
      </c>
      <c r="O84" t="s">
        <v>45</v>
      </c>
      <c r="V84" cm="1">
        <f t="array" ref="V84">IF(W84="",U84,_xlfn.XLOOKUP(W84,$W$3:W83,$AA$3:AA83,U84,0,-1))</f>
        <v>0</v>
      </c>
      <c r="Y84">
        <f t="shared" si="6"/>
        <v>0</v>
      </c>
      <c r="Z84">
        <f t="shared" si="7"/>
        <v>0</v>
      </c>
      <c r="AA84">
        <f t="shared" si="8"/>
        <v>0</v>
      </c>
      <c r="AB84" t="s">
        <v>1380</v>
      </c>
    </row>
    <row r="85" spans="1:29" x14ac:dyDescent="0.3">
      <c r="A85" t="s">
        <v>1381</v>
      </c>
      <c r="B85" t="s">
        <v>1358</v>
      </c>
      <c r="D85" t="s">
        <v>1166</v>
      </c>
      <c r="G85" t="s">
        <v>1382</v>
      </c>
      <c r="I85" t="s">
        <v>41</v>
      </c>
      <c r="J85">
        <v>5</v>
      </c>
      <c r="K85" t="s">
        <v>86</v>
      </c>
      <c r="L85" t="s">
        <v>44</v>
      </c>
      <c r="M85" t="s">
        <v>44</v>
      </c>
      <c r="O85" t="s">
        <v>45</v>
      </c>
      <c r="V85" cm="1">
        <f t="array" ref="V85">IF(W85="",U85,_xlfn.XLOOKUP(W85,$W$3:W84,$AA$3:AA84,U85,0,-1))</f>
        <v>0</v>
      </c>
      <c r="Y85">
        <f t="shared" si="6"/>
        <v>0</v>
      </c>
      <c r="Z85">
        <f t="shared" si="7"/>
        <v>0</v>
      </c>
      <c r="AA85">
        <f t="shared" si="8"/>
        <v>0</v>
      </c>
    </row>
    <row r="86" spans="1:29" x14ac:dyDescent="0.3">
      <c r="A86" t="s">
        <v>1383</v>
      </c>
      <c r="B86" t="s">
        <v>1358</v>
      </c>
      <c r="D86" t="s">
        <v>1166</v>
      </c>
      <c r="G86" s="102" t="s">
        <v>1384</v>
      </c>
      <c r="H86" s="102" t="s">
        <v>1385</v>
      </c>
      <c r="I86" s="102" t="s">
        <v>41</v>
      </c>
      <c r="J86" s="102">
        <v>4</v>
      </c>
      <c r="K86" s="102"/>
      <c r="L86" s="102"/>
      <c r="M86" s="102"/>
      <c r="N86" s="102"/>
      <c r="O86" s="102" t="s">
        <v>106</v>
      </c>
      <c r="V86" cm="1">
        <f t="array" ref="V86">IF(W86="",U86,_xlfn.XLOOKUP(W86,$W$3:W85,$AA$3:AA85,U86,0,-1))</f>
        <v>0</v>
      </c>
      <c r="Y86">
        <f t="shared" si="6"/>
        <v>0</v>
      </c>
      <c r="Z86">
        <f t="shared" si="7"/>
        <v>0</v>
      </c>
      <c r="AA86">
        <f t="shared" si="8"/>
        <v>0</v>
      </c>
    </row>
    <row r="87" spans="1:29" x14ac:dyDescent="0.3">
      <c r="A87" t="s">
        <v>1386</v>
      </c>
      <c r="B87" t="s">
        <v>1358</v>
      </c>
      <c r="D87" t="s">
        <v>1166</v>
      </c>
      <c r="G87" t="s">
        <v>1387</v>
      </c>
      <c r="I87" t="s">
        <v>41</v>
      </c>
      <c r="K87" t="s">
        <v>86</v>
      </c>
      <c r="L87" t="s">
        <v>44</v>
      </c>
      <c r="M87" t="s">
        <v>44</v>
      </c>
      <c r="O87" t="s">
        <v>45</v>
      </c>
      <c r="V87" cm="1">
        <f t="array" ref="V87">IF(W87="",U87,_xlfn.XLOOKUP(W87,$W$3:W86,$AA$3:AA86,U87,0,-1))</f>
        <v>0</v>
      </c>
      <c r="Y87">
        <f t="shared" si="6"/>
        <v>0</v>
      </c>
      <c r="Z87">
        <f t="shared" si="7"/>
        <v>0</v>
      </c>
      <c r="AA87">
        <f t="shared" si="8"/>
        <v>0</v>
      </c>
      <c r="AB87" t="s">
        <v>1388</v>
      </c>
    </row>
    <row r="88" spans="1:29" x14ac:dyDescent="0.3">
      <c r="A88" t="s">
        <v>1389</v>
      </c>
      <c r="B88" t="s">
        <v>1358</v>
      </c>
      <c r="D88" t="s">
        <v>1166</v>
      </c>
      <c r="G88" t="s">
        <v>1390</v>
      </c>
      <c r="I88" t="s">
        <v>41</v>
      </c>
      <c r="K88" t="s">
        <v>86</v>
      </c>
      <c r="L88" t="s">
        <v>44</v>
      </c>
      <c r="M88" t="s">
        <v>44</v>
      </c>
      <c r="O88" t="s">
        <v>45</v>
      </c>
      <c r="V88" cm="1">
        <f t="array" ref="V88">IF(W88="",U88,_xlfn.XLOOKUP(W88,$W$3:W87,$AA$3:AA87,U88,0,-1))</f>
        <v>0</v>
      </c>
      <c r="Y88">
        <f t="shared" si="6"/>
        <v>0</v>
      </c>
      <c r="Z88">
        <f t="shared" si="7"/>
        <v>0</v>
      </c>
      <c r="AA88">
        <f t="shared" si="8"/>
        <v>0</v>
      </c>
      <c r="AB88" t="s">
        <v>1388</v>
      </c>
    </row>
    <row r="89" spans="1:29" ht="14.4" customHeight="1" x14ac:dyDescent="0.3">
      <c r="B89" t="s">
        <v>1358</v>
      </c>
      <c r="D89" t="s">
        <v>1166</v>
      </c>
      <c r="G89" t="s">
        <v>1391</v>
      </c>
      <c r="I89" t="s">
        <v>52</v>
      </c>
      <c r="K89" t="s">
        <v>53</v>
      </c>
      <c r="L89" t="s">
        <v>43</v>
      </c>
      <c r="M89" t="s">
        <v>44</v>
      </c>
      <c r="O89" t="s">
        <v>45</v>
      </c>
      <c r="V89" cm="1">
        <f t="array" ref="V89">IF(W89="",U89,_xlfn.XLOOKUP(W89,$W$3:W88,$AA$3:AA88,U89,0,-1))</f>
        <v>0</v>
      </c>
      <c r="Y89">
        <f t="shared" si="6"/>
        <v>0</v>
      </c>
      <c r="Z89">
        <f t="shared" si="7"/>
        <v>0</v>
      </c>
      <c r="AA89">
        <f t="shared" si="8"/>
        <v>0</v>
      </c>
      <c r="AB89" t="s">
        <v>77</v>
      </c>
    </row>
    <row r="90" spans="1:29" ht="16.350000000000001" customHeight="1" x14ac:dyDescent="0.3">
      <c r="B90" t="s">
        <v>1358</v>
      </c>
      <c r="G90" t="s">
        <v>1392</v>
      </c>
      <c r="I90" t="s">
        <v>52</v>
      </c>
      <c r="K90" t="s">
        <v>53</v>
      </c>
      <c r="L90" t="s">
        <v>44</v>
      </c>
      <c r="M90" t="s">
        <v>44</v>
      </c>
      <c r="O90" t="s">
        <v>45</v>
      </c>
      <c r="V90" cm="1">
        <f t="array" ref="V90">IF(W90="",U90,_xlfn.XLOOKUP(W90,$W$3:W89,$AA$3:AA89,U90,0,-1))</f>
        <v>0</v>
      </c>
      <c r="Y90">
        <f t="shared" si="6"/>
        <v>0</v>
      </c>
      <c r="Z90">
        <f t="shared" si="7"/>
        <v>0</v>
      </c>
      <c r="AA90">
        <f t="shared" si="8"/>
        <v>0</v>
      </c>
      <c r="AB90" t="s">
        <v>77</v>
      </c>
    </row>
    <row r="91" spans="1:29" ht="14.4" customHeight="1" x14ac:dyDescent="0.3">
      <c r="B91" t="s">
        <v>1358</v>
      </c>
      <c r="D91" t="s">
        <v>1166</v>
      </c>
      <c r="G91" t="s">
        <v>1393</v>
      </c>
      <c r="I91" t="s">
        <v>52</v>
      </c>
      <c r="K91" t="s">
        <v>86</v>
      </c>
      <c r="L91" t="s">
        <v>44</v>
      </c>
      <c r="M91" t="s">
        <v>44</v>
      </c>
      <c r="O91" t="s">
        <v>119</v>
      </c>
      <c r="V91" cm="1">
        <f t="array" ref="V91">IF(W91="",U91,_xlfn.XLOOKUP(W91,$W$3:W90,$AA$3:AA90,U91,0,-1))</f>
        <v>0</v>
      </c>
      <c r="Y91">
        <f t="shared" si="6"/>
        <v>0</v>
      </c>
      <c r="Z91">
        <f t="shared" si="7"/>
        <v>0</v>
      </c>
      <c r="AA91">
        <f t="shared" si="8"/>
        <v>0</v>
      </c>
      <c r="AB91" t="s">
        <v>77</v>
      </c>
    </row>
    <row r="92" spans="1:29" x14ac:dyDescent="0.3">
      <c r="B92" t="s">
        <v>1358</v>
      </c>
      <c r="G92" t="s">
        <v>1394</v>
      </c>
      <c r="I92" t="s">
        <v>52</v>
      </c>
      <c r="K92" t="s">
        <v>86</v>
      </c>
      <c r="L92" t="s">
        <v>44</v>
      </c>
      <c r="M92" t="s">
        <v>44</v>
      </c>
      <c r="O92" t="s">
        <v>106</v>
      </c>
      <c r="V92" cm="1">
        <f t="array" ref="V92">IF(W92="",U92,_xlfn.XLOOKUP(W92,$W$3:W91,$AA$3:AA91,U92,0,-1))</f>
        <v>0</v>
      </c>
      <c r="Y92">
        <f t="shared" si="6"/>
        <v>0</v>
      </c>
      <c r="Z92">
        <f t="shared" si="7"/>
        <v>0</v>
      </c>
      <c r="AA92">
        <f t="shared" si="8"/>
        <v>0</v>
      </c>
      <c r="AB92" t="s">
        <v>77</v>
      </c>
      <c r="AC92" t="s">
        <v>1395</v>
      </c>
    </row>
    <row r="93" spans="1:29" x14ac:dyDescent="0.3">
      <c r="B93" t="s">
        <v>1358</v>
      </c>
      <c r="D93" t="s">
        <v>1166</v>
      </c>
      <c r="G93" t="s">
        <v>680</v>
      </c>
      <c r="H93" t="s">
        <v>682</v>
      </c>
      <c r="I93" t="s">
        <v>41</v>
      </c>
      <c r="K93" t="s">
        <v>42</v>
      </c>
      <c r="L93" t="s">
        <v>44</v>
      </c>
      <c r="M93" t="s">
        <v>44</v>
      </c>
      <c r="O93" t="s">
        <v>106</v>
      </c>
      <c r="Q93" t="s">
        <v>1396</v>
      </c>
      <c r="R93" s="151">
        <v>0.75</v>
      </c>
      <c r="V93" cm="1">
        <f t="array" ref="V93">IF(W93="",U93,_xlfn.XLOOKUP(W93,$W$3:W92,$AA$3:AA92,U93,0,-1))</f>
        <v>0</v>
      </c>
      <c r="X93" s="151">
        <v>5.0000000000000001E-3</v>
      </c>
      <c r="Y93">
        <f t="shared" si="6"/>
        <v>0</v>
      </c>
      <c r="Z93">
        <f t="shared" si="7"/>
        <v>0</v>
      </c>
      <c r="AA93">
        <f t="shared" si="8"/>
        <v>0</v>
      </c>
      <c r="AB93" t="s">
        <v>77</v>
      </c>
      <c r="AC93" t="s">
        <v>97</v>
      </c>
    </row>
    <row r="94" spans="1:29" x14ac:dyDescent="0.3">
      <c r="A94" t="s">
        <v>1397</v>
      </c>
      <c r="B94" t="s">
        <v>99</v>
      </c>
      <c r="D94" t="s">
        <v>1166</v>
      </c>
      <c r="G94" t="s">
        <v>1398</v>
      </c>
      <c r="I94" t="s">
        <v>41</v>
      </c>
      <c r="J94">
        <v>3</v>
      </c>
      <c r="K94" t="s">
        <v>53</v>
      </c>
      <c r="L94" t="s">
        <v>44</v>
      </c>
      <c r="M94" t="s">
        <v>44</v>
      </c>
      <c r="O94" t="s">
        <v>45</v>
      </c>
      <c r="V94" cm="1">
        <f t="array" ref="V94">IF(W94="",U94,_xlfn.XLOOKUP(W94,$W$3:W93,$AA$3:AA93,U94,0,-1))</f>
        <v>0</v>
      </c>
      <c r="Y94">
        <f t="shared" si="6"/>
        <v>0</v>
      </c>
      <c r="Z94">
        <f t="shared" si="7"/>
        <v>0</v>
      </c>
      <c r="AA94">
        <f t="shared" si="8"/>
        <v>0</v>
      </c>
      <c r="AB94" t="s">
        <v>77</v>
      </c>
    </row>
    <row r="95" spans="1:29" x14ac:dyDescent="0.3">
      <c r="A95" t="s">
        <v>1399</v>
      </c>
      <c r="B95" t="s">
        <v>99</v>
      </c>
      <c r="D95" t="s">
        <v>1166</v>
      </c>
      <c r="G95" t="s">
        <v>1400</v>
      </c>
      <c r="I95" t="s">
        <v>41</v>
      </c>
      <c r="J95">
        <v>2</v>
      </c>
      <c r="K95" t="s">
        <v>86</v>
      </c>
      <c r="L95" t="s">
        <v>43</v>
      </c>
      <c r="M95" t="s">
        <v>43</v>
      </c>
      <c r="O95" t="s">
        <v>119</v>
      </c>
      <c r="V95" cm="1">
        <f t="array" ref="V95">IF(W95="",U95,_xlfn.XLOOKUP(W95,$W$3:W94,$AA$3:AA94,U95,0,-1))</f>
        <v>0</v>
      </c>
      <c r="Y95">
        <f t="shared" si="6"/>
        <v>0</v>
      </c>
      <c r="Z95">
        <f t="shared" si="7"/>
        <v>0</v>
      </c>
      <c r="AA95">
        <f t="shared" si="8"/>
        <v>0</v>
      </c>
    </row>
    <row r="96" spans="1:29" x14ac:dyDescent="0.3">
      <c r="A96" t="s">
        <v>1401</v>
      </c>
      <c r="B96" t="s">
        <v>99</v>
      </c>
      <c r="D96" t="s">
        <v>1166</v>
      </c>
      <c r="G96" t="s">
        <v>1402</v>
      </c>
      <c r="I96" t="s">
        <v>41</v>
      </c>
      <c r="J96">
        <v>0</v>
      </c>
      <c r="K96" t="s">
        <v>86</v>
      </c>
      <c r="L96" t="s">
        <v>44</v>
      </c>
      <c r="M96" t="s">
        <v>44</v>
      </c>
      <c r="O96" t="s">
        <v>119</v>
      </c>
      <c r="V96" cm="1">
        <f t="array" ref="V96">IF(W96="",U96,_xlfn.XLOOKUP(W96,$W$3:W95,$AA$3:AA95,U96,0,-1))</f>
        <v>0</v>
      </c>
      <c r="Y96">
        <f t="shared" si="6"/>
        <v>0</v>
      </c>
      <c r="Z96">
        <f t="shared" si="7"/>
        <v>0</v>
      </c>
      <c r="AA96">
        <f t="shared" si="8"/>
        <v>0</v>
      </c>
    </row>
    <row r="97" spans="1:29" x14ac:dyDescent="0.3">
      <c r="A97" t="s">
        <v>1403</v>
      </c>
      <c r="B97" t="s">
        <v>99</v>
      </c>
      <c r="D97" t="s">
        <v>1166</v>
      </c>
      <c r="G97" t="s">
        <v>1404</v>
      </c>
      <c r="I97" t="s">
        <v>41</v>
      </c>
      <c r="J97">
        <v>1</v>
      </c>
      <c r="K97" t="s">
        <v>86</v>
      </c>
      <c r="L97" t="s">
        <v>43</v>
      </c>
      <c r="M97" t="s">
        <v>43</v>
      </c>
      <c r="O97" t="s">
        <v>45</v>
      </c>
      <c r="V97" cm="1">
        <f t="array" ref="V97">IF(W97="",U97,_xlfn.XLOOKUP(W97,$W$3:W96,$AA$3:AA96,U97,0,-1))</f>
        <v>0</v>
      </c>
      <c r="Y97">
        <f t="shared" si="6"/>
        <v>0</v>
      </c>
      <c r="Z97">
        <f t="shared" si="7"/>
        <v>0</v>
      </c>
      <c r="AA97">
        <f t="shared" si="8"/>
        <v>0</v>
      </c>
    </row>
    <row r="98" spans="1:29" x14ac:dyDescent="0.3">
      <c r="A98" t="s">
        <v>1405</v>
      </c>
      <c r="B98" t="s">
        <v>99</v>
      </c>
      <c r="D98" t="s">
        <v>1166</v>
      </c>
      <c r="G98" t="s">
        <v>1406</v>
      </c>
      <c r="I98" t="s">
        <v>41</v>
      </c>
      <c r="J98">
        <v>4</v>
      </c>
      <c r="K98" t="s">
        <v>86</v>
      </c>
      <c r="L98" t="s">
        <v>43</v>
      </c>
      <c r="M98" t="s">
        <v>43</v>
      </c>
      <c r="O98" t="s">
        <v>119</v>
      </c>
      <c r="V98" cm="1">
        <f t="array" ref="V98">IF(W98="",U98,_xlfn.XLOOKUP(W98,$W$3:W97,$AA$3:AA97,U98,0,-1))</f>
        <v>0</v>
      </c>
      <c r="Y98">
        <f t="shared" si="6"/>
        <v>0</v>
      </c>
      <c r="Z98">
        <f t="shared" si="7"/>
        <v>0</v>
      </c>
      <c r="AA98">
        <f t="shared" si="8"/>
        <v>0</v>
      </c>
    </row>
    <row r="99" spans="1:29" x14ac:dyDescent="0.3">
      <c r="A99" t="s">
        <v>1407</v>
      </c>
      <c r="B99" t="s">
        <v>99</v>
      </c>
      <c r="D99" t="s">
        <v>1166</v>
      </c>
      <c r="G99" t="s">
        <v>1408</v>
      </c>
      <c r="H99" t="s">
        <v>1409</v>
      </c>
      <c r="I99" t="s">
        <v>41</v>
      </c>
      <c r="J99">
        <v>2</v>
      </c>
      <c r="O99" t="s">
        <v>157</v>
      </c>
      <c r="V99" cm="1">
        <f t="array" ref="V99">IF(W99="",U99,_xlfn.XLOOKUP(W99,$W$3:W98,$AA$3:AA98,U99,0,-1))</f>
        <v>0</v>
      </c>
      <c r="Y99">
        <f t="shared" ref="Y99:Y130" si="9">(R99-S99)*X99*U99</f>
        <v>0</v>
      </c>
      <c r="Z99">
        <f t="shared" ref="Z99:Z130" si="10">(R99-S99)*X99*V99</f>
        <v>0</v>
      </c>
      <c r="AA99">
        <f t="shared" ref="AA99:AA130" si="11">V99-Z99</f>
        <v>0</v>
      </c>
    </row>
    <row r="100" spans="1:29" x14ac:dyDescent="0.3">
      <c r="A100" t="s">
        <v>1410</v>
      </c>
      <c r="B100" t="s">
        <v>99</v>
      </c>
      <c r="D100" t="s">
        <v>1166</v>
      </c>
      <c r="G100" s="102" t="s">
        <v>1411</v>
      </c>
      <c r="H100" s="102"/>
      <c r="I100" s="102" t="s">
        <v>41</v>
      </c>
      <c r="J100" s="102">
        <v>0</v>
      </c>
      <c r="K100" s="102"/>
      <c r="L100" s="102"/>
      <c r="M100" s="102"/>
      <c r="N100" s="102" t="s">
        <v>1330</v>
      </c>
      <c r="O100" s="102"/>
      <c r="V100" cm="1">
        <f t="array" ref="V100">IF(W100="",U100,_xlfn.XLOOKUP(W100,$W$3:W99,$AA$3:AA99,U100,0,-1))</f>
        <v>0</v>
      </c>
      <c r="Y100">
        <f t="shared" si="9"/>
        <v>0</v>
      </c>
      <c r="Z100">
        <f t="shared" si="10"/>
        <v>0</v>
      </c>
      <c r="AA100">
        <f t="shared" si="11"/>
        <v>0</v>
      </c>
      <c r="AB100" t="s">
        <v>1331</v>
      </c>
    </row>
    <row r="101" spans="1:29" x14ac:dyDescent="0.3">
      <c r="A101" t="s">
        <v>1412</v>
      </c>
      <c r="B101" t="s">
        <v>99</v>
      </c>
      <c r="D101" t="s">
        <v>1166</v>
      </c>
      <c r="G101" s="102" t="s">
        <v>1413</v>
      </c>
      <c r="H101" s="102"/>
      <c r="I101" s="102" t="s">
        <v>41</v>
      </c>
      <c r="J101" s="102">
        <v>4</v>
      </c>
      <c r="K101" s="102"/>
      <c r="L101" s="102"/>
      <c r="M101" s="102"/>
      <c r="N101" s="102"/>
      <c r="O101" s="102"/>
      <c r="V101" cm="1">
        <f t="array" ref="V101">IF(W101="",U101,_xlfn.XLOOKUP(W101,$W$3:W100,$AA$3:AA100,U101,0,-1))</f>
        <v>0</v>
      </c>
      <c r="Y101">
        <f t="shared" si="9"/>
        <v>0</v>
      </c>
      <c r="Z101">
        <f t="shared" si="10"/>
        <v>0</v>
      </c>
      <c r="AA101">
        <f t="shared" si="11"/>
        <v>0</v>
      </c>
      <c r="AB101" t="s">
        <v>530</v>
      </c>
    </row>
    <row r="102" spans="1:29" x14ac:dyDescent="0.3">
      <c r="A102" t="s">
        <v>1414</v>
      </c>
      <c r="B102" t="s">
        <v>99</v>
      </c>
      <c r="D102" t="s">
        <v>1166</v>
      </c>
      <c r="G102" t="s">
        <v>1415</v>
      </c>
      <c r="I102" t="s">
        <v>41</v>
      </c>
      <c r="J102">
        <v>1</v>
      </c>
      <c r="K102" t="s">
        <v>86</v>
      </c>
      <c r="L102" t="s">
        <v>44</v>
      </c>
      <c r="M102" t="s">
        <v>44</v>
      </c>
      <c r="O102" t="s">
        <v>45</v>
      </c>
      <c r="V102" cm="1">
        <f t="array" ref="V102">IF(W102="",U102,_xlfn.XLOOKUP(W102,$W$3:W101,$AA$3:AA101,U102,0,-1))</f>
        <v>0</v>
      </c>
      <c r="Y102">
        <f t="shared" si="9"/>
        <v>0</v>
      </c>
      <c r="Z102">
        <f t="shared" si="10"/>
        <v>0</v>
      </c>
      <c r="AA102">
        <f t="shared" si="11"/>
        <v>0</v>
      </c>
      <c r="AB102" t="s">
        <v>77</v>
      </c>
    </row>
    <row r="103" spans="1:29" x14ac:dyDescent="0.3">
      <c r="A103" t="s">
        <v>1416</v>
      </c>
      <c r="B103" t="s">
        <v>99</v>
      </c>
      <c r="D103" t="s">
        <v>1166</v>
      </c>
      <c r="G103" s="102" t="s">
        <v>1417</v>
      </c>
      <c r="H103" s="102"/>
      <c r="I103" s="102" t="s">
        <v>41</v>
      </c>
      <c r="J103" s="102">
        <v>2</v>
      </c>
      <c r="K103" s="102"/>
      <c r="L103" s="102"/>
      <c r="M103" s="102"/>
      <c r="N103" s="102"/>
      <c r="O103" s="102"/>
      <c r="V103" cm="1">
        <f t="array" ref="V103">IF(W103="",U103,_xlfn.XLOOKUP(W103,$W$3:W102,$AA$3:AA102,U103,0,-1))</f>
        <v>0</v>
      </c>
      <c r="Y103">
        <f t="shared" si="9"/>
        <v>0</v>
      </c>
      <c r="Z103">
        <f t="shared" si="10"/>
        <v>0</v>
      </c>
      <c r="AA103">
        <f t="shared" si="11"/>
        <v>0</v>
      </c>
      <c r="AB103" t="s">
        <v>1331</v>
      </c>
    </row>
    <row r="104" spans="1:29" x14ac:dyDescent="0.3">
      <c r="A104" t="s">
        <v>1418</v>
      </c>
      <c r="B104" t="s">
        <v>99</v>
      </c>
      <c r="D104" t="s">
        <v>1166</v>
      </c>
      <c r="G104" t="s">
        <v>1419</v>
      </c>
      <c r="H104" t="s">
        <v>1420</v>
      </c>
      <c r="I104" t="s">
        <v>41</v>
      </c>
      <c r="J104">
        <v>0</v>
      </c>
      <c r="O104" t="s">
        <v>157</v>
      </c>
      <c r="V104" cm="1">
        <f t="array" ref="V104">IF(W104="",U104,_xlfn.XLOOKUP(W104,$W$3:W103,$AA$3:AA103,U104,0,-1))</f>
        <v>0</v>
      </c>
      <c r="Y104">
        <f t="shared" si="9"/>
        <v>0</v>
      </c>
      <c r="Z104">
        <f t="shared" si="10"/>
        <v>0</v>
      </c>
      <c r="AA104">
        <f t="shared" si="11"/>
        <v>0</v>
      </c>
    </row>
    <row r="105" spans="1:29" x14ac:dyDescent="0.3">
      <c r="A105" t="s">
        <v>1421</v>
      </c>
      <c r="B105" t="s">
        <v>99</v>
      </c>
      <c r="D105" t="s">
        <v>1166</v>
      </c>
      <c r="G105" s="102" t="s">
        <v>1422</v>
      </c>
      <c r="H105" s="102"/>
      <c r="I105" s="102" t="s">
        <v>41</v>
      </c>
      <c r="J105" s="102">
        <v>2</v>
      </c>
      <c r="K105" s="102"/>
      <c r="L105" s="102"/>
      <c r="M105" s="102"/>
      <c r="N105" s="102"/>
      <c r="O105" s="102"/>
      <c r="V105" cm="1">
        <f t="array" ref="V105">IF(W105="",U105,_xlfn.XLOOKUP(W105,$W$3:W104,$AA$3:AA104,U105,0,-1))</f>
        <v>0</v>
      </c>
      <c r="Y105">
        <f t="shared" si="9"/>
        <v>0</v>
      </c>
      <c r="Z105">
        <f t="shared" si="10"/>
        <v>0</v>
      </c>
      <c r="AA105">
        <f t="shared" si="11"/>
        <v>0</v>
      </c>
      <c r="AB105" t="s">
        <v>1331</v>
      </c>
    </row>
    <row r="106" spans="1:29" x14ac:dyDescent="0.3">
      <c r="A106" t="s">
        <v>1423</v>
      </c>
      <c r="B106" t="s">
        <v>99</v>
      </c>
      <c r="D106" t="s">
        <v>1166</v>
      </c>
      <c r="G106" t="s">
        <v>1424</v>
      </c>
      <c r="I106" t="s">
        <v>41</v>
      </c>
      <c r="J106">
        <v>3</v>
      </c>
      <c r="K106" t="s">
        <v>86</v>
      </c>
      <c r="L106" t="s">
        <v>43</v>
      </c>
      <c r="M106" t="s">
        <v>43</v>
      </c>
      <c r="N106" t="s">
        <v>1225</v>
      </c>
      <c r="O106" t="s">
        <v>119</v>
      </c>
      <c r="V106" cm="1">
        <f t="array" ref="V106">IF(W106="",U106,_xlfn.XLOOKUP(W106,$W$3:W105,$AA$3:AA105,U106,0,-1))</f>
        <v>0</v>
      </c>
      <c r="Y106">
        <f t="shared" si="9"/>
        <v>0</v>
      </c>
      <c r="Z106">
        <f t="shared" si="10"/>
        <v>0</v>
      </c>
      <c r="AA106">
        <f t="shared" si="11"/>
        <v>0</v>
      </c>
      <c r="AB106" t="s">
        <v>77</v>
      </c>
    </row>
    <row r="107" spans="1:29" x14ac:dyDescent="0.3">
      <c r="A107" t="s">
        <v>1425</v>
      </c>
      <c r="B107" t="s">
        <v>99</v>
      </c>
      <c r="D107" t="s">
        <v>1166</v>
      </c>
      <c r="G107" s="101" t="s">
        <v>1426</v>
      </c>
      <c r="H107" s="101" t="s">
        <v>1427</v>
      </c>
      <c r="I107" s="101" t="s">
        <v>41</v>
      </c>
      <c r="J107" s="101">
        <v>0</v>
      </c>
      <c r="K107" s="101"/>
      <c r="L107" s="101"/>
      <c r="M107" s="101"/>
      <c r="N107" s="101"/>
      <c r="O107" s="101"/>
      <c r="V107" cm="1">
        <f t="array" ref="V107">IF(W107="",U107,_xlfn.XLOOKUP(W107,$W$3:W106,$AA$3:AA106,U107,0,-1))</f>
        <v>0</v>
      </c>
      <c r="Y107">
        <f t="shared" si="9"/>
        <v>0</v>
      </c>
      <c r="Z107">
        <f t="shared" si="10"/>
        <v>0</v>
      </c>
      <c r="AA107">
        <f t="shared" si="11"/>
        <v>0</v>
      </c>
    </row>
    <row r="108" spans="1:29" x14ac:dyDescent="0.3">
      <c r="A108" t="s">
        <v>1428</v>
      </c>
      <c r="B108" t="s">
        <v>99</v>
      </c>
      <c r="D108" t="s">
        <v>1166</v>
      </c>
      <c r="G108" t="s">
        <v>1429</v>
      </c>
      <c r="H108" t="s">
        <v>1430</v>
      </c>
      <c r="I108" t="s">
        <v>41</v>
      </c>
      <c r="J108">
        <v>0</v>
      </c>
      <c r="K108" t="s">
        <v>53</v>
      </c>
      <c r="L108" t="s">
        <v>44</v>
      </c>
      <c r="M108" t="s">
        <v>44</v>
      </c>
      <c r="N108" t="s">
        <v>1431</v>
      </c>
      <c r="O108" t="s">
        <v>106</v>
      </c>
      <c r="V108" cm="1">
        <f t="array" ref="V108">IF(W108="",U108,_xlfn.XLOOKUP(W108,$W$3:W107,$AA$3:AA107,U108,0,-1))</f>
        <v>0</v>
      </c>
      <c r="Y108">
        <f t="shared" si="9"/>
        <v>0</v>
      </c>
      <c r="Z108">
        <f t="shared" si="10"/>
        <v>0</v>
      </c>
      <c r="AA108">
        <f t="shared" si="11"/>
        <v>0</v>
      </c>
      <c r="AB108" t="s">
        <v>77</v>
      </c>
    </row>
    <row r="109" spans="1:29" x14ac:dyDescent="0.3">
      <c r="A109" t="s">
        <v>1432</v>
      </c>
      <c r="B109" t="s">
        <v>99</v>
      </c>
      <c r="D109" t="s">
        <v>1166</v>
      </c>
      <c r="G109" t="s">
        <v>1433</v>
      </c>
      <c r="H109" t="s">
        <v>1434</v>
      </c>
      <c r="I109" t="s">
        <v>41</v>
      </c>
      <c r="J109">
        <v>2</v>
      </c>
      <c r="K109" t="s">
        <v>53</v>
      </c>
      <c r="L109" t="s">
        <v>44</v>
      </c>
      <c r="M109" t="s">
        <v>44</v>
      </c>
      <c r="O109" t="s">
        <v>45</v>
      </c>
      <c r="V109" cm="1">
        <f t="array" ref="V109">IF(W109="",U109,_xlfn.XLOOKUP(W109,$W$3:W108,$AA$3:AA108,U109,0,-1))</f>
        <v>0</v>
      </c>
      <c r="Y109">
        <f t="shared" si="9"/>
        <v>0</v>
      </c>
      <c r="Z109">
        <f t="shared" si="10"/>
        <v>0</v>
      </c>
      <c r="AA109">
        <f t="shared" si="11"/>
        <v>0</v>
      </c>
      <c r="AB109" t="s">
        <v>492</v>
      </c>
    </row>
    <row r="110" spans="1:29" x14ac:dyDescent="0.3">
      <c r="A110" t="s">
        <v>1435</v>
      </c>
      <c r="B110" t="s">
        <v>99</v>
      </c>
      <c r="D110" t="s">
        <v>1166</v>
      </c>
      <c r="G110" s="101" t="s">
        <v>1436</v>
      </c>
      <c r="H110" s="101" t="s">
        <v>1437</v>
      </c>
      <c r="I110" s="101" t="s">
        <v>41</v>
      </c>
      <c r="J110" s="101">
        <v>0</v>
      </c>
      <c r="K110" s="101"/>
      <c r="L110" s="101"/>
      <c r="M110" s="101"/>
      <c r="N110" s="101"/>
      <c r="O110" s="101"/>
      <c r="V110" cm="1">
        <f t="array" ref="V110">IF(W110="",U110,_xlfn.XLOOKUP(W110,$W$3:W109,$AA$3:AA109,U110,0,-1))</f>
        <v>0</v>
      </c>
      <c r="Y110">
        <f t="shared" si="9"/>
        <v>0</v>
      </c>
      <c r="Z110">
        <f t="shared" si="10"/>
        <v>0</v>
      </c>
      <c r="AA110">
        <f t="shared" si="11"/>
        <v>0</v>
      </c>
    </row>
    <row r="111" spans="1:29" x14ac:dyDescent="0.3">
      <c r="A111" t="s">
        <v>1438</v>
      </c>
      <c r="B111" t="s">
        <v>99</v>
      </c>
      <c r="D111" t="s">
        <v>1166</v>
      </c>
      <c r="G111" t="s">
        <v>1439</v>
      </c>
      <c r="I111" t="s">
        <v>140</v>
      </c>
      <c r="K111" t="s">
        <v>53</v>
      </c>
      <c r="L111" t="s">
        <v>44</v>
      </c>
      <c r="M111" t="s">
        <v>44</v>
      </c>
      <c r="O111" t="s">
        <v>45</v>
      </c>
      <c r="V111" cm="1">
        <f t="array" ref="V111">IF(W111="",U111,_xlfn.XLOOKUP(W111,$W$3:W110,$AA$3:AA110,U111,0,-1))</f>
        <v>0</v>
      </c>
      <c r="Y111">
        <f t="shared" si="9"/>
        <v>0</v>
      </c>
      <c r="Z111">
        <f t="shared" si="10"/>
        <v>0</v>
      </c>
      <c r="AA111">
        <f t="shared" si="11"/>
        <v>0</v>
      </c>
      <c r="AB111" t="s">
        <v>1182</v>
      </c>
      <c r="AC111" t="s">
        <v>1264</v>
      </c>
    </row>
    <row r="112" spans="1:29" x14ac:dyDescent="0.3">
      <c r="A112" t="s">
        <v>1440</v>
      </c>
      <c r="B112" t="s">
        <v>99</v>
      </c>
      <c r="D112" t="s">
        <v>1166</v>
      </c>
      <c r="G112" s="101" t="s">
        <v>1441</v>
      </c>
      <c r="H112" s="101" t="s">
        <v>1442</v>
      </c>
      <c r="I112" s="101" t="s">
        <v>140</v>
      </c>
      <c r="J112" s="101"/>
      <c r="K112" s="101"/>
      <c r="L112" s="101"/>
      <c r="M112" s="101"/>
      <c r="N112" s="101"/>
      <c r="O112" s="101"/>
      <c r="V112" cm="1">
        <f t="array" ref="V112">IF(W112="",U112,_xlfn.XLOOKUP(W112,$W$3:W111,$AA$3:AA111,U112,0,-1))</f>
        <v>0</v>
      </c>
      <c r="Y112">
        <f t="shared" si="9"/>
        <v>0</v>
      </c>
      <c r="Z112">
        <f t="shared" si="10"/>
        <v>0</v>
      </c>
      <c r="AA112">
        <f t="shared" si="11"/>
        <v>0</v>
      </c>
    </row>
    <row r="113" spans="1:29" x14ac:dyDescent="0.3">
      <c r="B113" t="s">
        <v>99</v>
      </c>
      <c r="D113" t="s">
        <v>1166</v>
      </c>
      <c r="G113" t="s">
        <v>1443</v>
      </c>
      <c r="H113" t="s">
        <v>1444</v>
      </c>
      <c r="I113" t="s">
        <v>52</v>
      </c>
      <c r="K113" t="s">
        <v>86</v>
      </c>
      <c r="L113" t="s">
        <v>43</v>
      </c>
      <c r="M113" t="s">
        <v>43</v>
      </c>
      <c r="O113" t="s">
        <v>119</v>
      </c>
      <c r="V113" cm="1">
        <f t="array" ref="V113">IF(W113="",U113,_xlfn.XLOOKUP(W113,$W$3:W112,$AA$3:AA112,U113,0,-1))</f>
        <v>0</v>
      </c>
      <c r="Y113">
        <f t="shared" si="9"/>
        <v>0</v>
      </c>
      <c r="Z113">
        <f t="shared" si="10"/>
        <v>0</v>
      </c>
      <c r="AA113">
        <f t="shared" si="11"/>
        <v>0</v>
      </c>
      <c r="AB113" t="s">
        <v>1261</v>
      </c>
      <c r="AC113" t="s">
        <v>1445</v>
      </c>
    </row>
    <row r="114" spans="1:29" ht="23.4" customHeight="1" x14ac:dyDescent="0.3">
      <c r="B114" t="s">
        <v>99</v>
      </c>
      <c r="G114" t="s">
        <v>1446</v>
      </c>
      <c r="I114" t="s">
        <v>52</v>
      </c>
      <c r="K114" t="s">
        <v>86</v>
      </c>
      <c r="L114" t="s">
        <v>43</v>
      </c>
      <c r="M114" t="s">
        <v>43</v>
      </c>
      <c r="O114" t="s">
        <v>119</v>
      </c>
      <c r="V114" cm="1">
        <f t="array" ref="V114">IF(W114="",U114,_xlfn.XLOOKUP(W114,$W$3:W113,$AA$3:AA113,U114,0,-1))</f>
        <v>0</v>
      </c>
      <c r="Y114">
        <f t="shared" si="9"/>
        <v>0</v>
      </c>
      <c r="Z114">
        <f t="shared" si="10"/>
        <v>0</v>
      </c>
      <c r="AA114">
        <f t="shared" si="11"/>
        <v>0</v>
      </c>
      <c r="AB114" t="s">
        <v>1447</v>
      </c>
    </row>
    <row r="115" spans="1:29" x14ac:dyDescent="0.3">
      <c r="A115" t="s">
        <v>1448</v>
      </c>
      <c r="B115" t="s">
        <v>556</v>
      </c>
      <c r="D115" t="s">
        <v>1166</v>
      </c>
      <c r="G115" s="102" t="s">
        <v>1449</v>
      </c>
      <c r="I115" t="s">
        <v>41</v>
      </c>
      <c r="J115">
        <v>0</v>
      </c>
      <c r="K115" t="s">
        <v>53</v>
      </c>
      <c r="L115" t="s">
        <v>44</v>
      </c>
      <c r="M115" t="s">
        <v>44</v>
      </c>
      <c r="N115" t="s">
        <v>1450</v>
      </c>
      <c r="O115" t="s">
        <v>45</v>
      </c>
      <c r="Q115" t="s">
        <v>1451</v>
      </c>
      <c r="V115" cm="1">
        <f t="array" ref="V115">IF(W115="",U115,_xlfn.XLOOKUP(W115,$W$3:W114,$AA$3:AA114,U115,0,-1))</f>
        <v>0</v>
      </c>
      <c r="Y115">
        <f t="shared" si="9"/>
        <v>0</v>
      </c>
      <c r="Z115">
        <f t="shared" si="10"/>
        <v>0</v>
      </c>
      <c r="AA115">
        <f t="shared" si="11"/>
        <v>0</v>
      </c>
      <c r="AB115" t="s">
        <v>739</v>
      </c>
      <c r="AC115" t="s">
        <v>484</v>
      </c>
    </row>
    <row r="116" spans="1:29" x14ac:dyDescent="0.3">
      <c r="A116" t="s">
        <v>1452</v>
      </c>
      <c r="B116" t="s">
        <v>556</v>
      </c>
      <c r="D116" t="s">
        <v>1166</v>
      </c>
      <c r="G116" s="102" t="s">
        <v>1453</v>
      </c>
      <c r="I116" t="s">
        <v>41</v>
      </c>
      <c r="J116">
        <v>0</v>
      </c>
      <c r="N116" t="s">
        <v>1454</v>
      </c>
      <c r="O116" t="s">
        <v>157</v>
      </c>
      <c r="V116" cm="1">
        <f t="array" ref="V116">IF(W116="",U116,_xlfn.XLOOKUP(W116,$W$3:W115,$AA$3:AA115,U116,0,-1))</f>
        <v>0</v>
      </c>
      <c r="Y116">
        <f t="shared" si="9"/>
        <v>0</v>
      </c>
      <c r="Z116">
        <f t="shared" si="10"/>
        <v>0</v>
      </c>
      <c r="AA116">
        <f t="shared" si="11"/>
        <v>0</v>
      </c>
    </row>
    <row r="117" spans="1:29" x14ac:dyDescent="0.3">
      <c r="A117" t="s">
        <v>1455</v>
      </c>
      <c r="B117" t="s">
        <v>556</v>
      </c>
      <c r="D117" t="s">
        <v>1166</v>
      </c>
      <c r="G117" s="102" t="s">
        <v>1456</v>
      </c>
      <c r="H117" t="s">
        <v>1457</v>
      </c>
      <c r="I117" t="s">
        <v>41</v>
      </c>
      <c r="J117">
        <v>0</v>
      </c>
      <c r="K117" t="s">
        <v>86</v>
      </c>
      <c r="L117" t="s">
        <v>43</v>
      </c>
      <c r="M117" t="s">
        <v>43</v>
      </c>
      <c r="O117" t="s">
        <v>106</v>
      </c>
      <c r="V117" cm="1">
        <f t="array" ref="V117">IF(W117="",U117,_xlfn.XLOOKUP(W117,$W$3:W116,$AA$3:AA116,U117,0,-1))</f>
        <v>0</v>
      </c>
      <c r="Y117">
        <f t="shared" si="9"/>
        <v>0</v>
      </c>
      <c r="Z117">
        <f t="shared" si="10"/>
        <v>0</v>
      </c>
      <c r="AA117">
        <f t="shared" si="11"/>
        <v>0</v>
      </c>
    </row>
    <row r="118" spans="1:29" x14ac:dyDescent="0.3">
      <c r="A118" t="s">
        <v>1458</v>
      </c>
      <c r="B118" t="s">
        <v>556</v>
      </c>
      <c r="D118" t="s">
        <v>1166</v>
      </c>
      <c r="G118" s="102" t="s">
        <v>1459</v>
      </c>
      <c r="I118" t="s">
        <v>41</v>
      </c>
      <c r="J118">
        <v>0</v>
      </c>
      <c r="K118" t="s">
        <v>86</v>
      </c>
      <c r="L118" t="s">
        <v>44</v>
      </c>
      <c r="M118" t="s">
        <v>44</v>
      </c>
      <c r="N118" t="s">
        <v>1460</v>
      </c>
      <c r="O118" t="s">
        <v>106</v>
      </c>
      <c r="V118" cm="1">
        <f t="array" ref="V118">IF(W118="",U118,_xlfn.XLOOKUP(W118,$W$3:W117,$AA$3:AA117,U118,0,-1))</f>
        <v>0</v>
      </c>
      <c r="Y118">
        <f t="shared" si="9"/>
        <v>0</v>
      </c>
      <c r="Z118">
        <f t="shared" si="10"/>
        <v>0</v>
      </c>
      <c r="AA118">
        <f t="shared" si="11"/>
        <v>0</v>
      </c>
    </row>
    <row r="119" spans="1:29" x14ac:dyDescent="0.3">
      <c r="A119" t="s">
        <v>1461</v>
      </c>
      <c r="B119" t="s">
        <v>556</v>
      </c>
      <c r="D119" t="s">
        <v>1166</v>
      </c>
      <c r="G119" s="102" t="s">
        <v>1462</v>
      </c>
      <c r="H119" t="s">
        <v>1463</v>
      </c>
      <c r="I119" t="s">
        <v>41</v>
      </c>
      <c r="J119">
        <v>0</v>
      </c>
      <c r="K119" t="s">
        <v>53</v>
      </c>
      <c r="L119" t="s">
        <v>43</v>
      </c>
      <c r="M119" t="s">
        <v>44</v>
      </c>
      <c r="N119" t="s">
        <v>1464</v>
      </c>
      <c r="O119" t="s">
        <v>106</v>
      </c>
      <c r="V119" cm="1">
        <f t="array" ref="V119">IF(W119="",U119,_xlfn.XLOOKUP(W119,$W$3:W118,$AA$3:AA118,U119,0,-1))</f>
        <v>0</v>
      </c>
      <c r="Y119">
        <f t="shared" si="9"/>
        <v>0</v>
      </c>
      <c r="Z119">
        <f t="shared" si="10"/>
        <v>0</v>
      </c>
      <c r="AA119">
        <f t="shared" si="11"/>
        <v>0</v>
      </c>
    </row>
    <row r="120" spans="1:29" x14ac:dyDescent="0.3">
      <c r="A120" t="s">
        <v>1465</v>
      </c>
      <c r="B120" t="s">
        <v>556</v>
      </c>
      <c r="D120" t="s">
        <v>1166</v>
      </c>
      <c r="G120" s="102" t="s">
        <v>1466</v>
      </c>
      <c r="I120" t="s">
        <v>41</v>
      </c>
      <c r="J120">
        <v>0</v>
      </c>
      <c r="K120" t="s">
        <v>42</v>
      </c>
      <c r="L120" t="s">
        <v>44</v>
      </c>
      <c r="M120" t="s">
        <v>44</v>
      </c>
      <c r="N120" t="s">
        <v>1467</v>
      </c>
      <c r="O120" t="s">
        <v>119</v>
      </c>
      <c r="V120" cm="1">
        <f t="array" ref="V120">IF(W120="",U120,_xlfn.XLOOKUP(W120,$W$3:W119,$AA$3:AA119,U120,0,-1))</f>
        <v>0</v>
      </c>
      <c r="Y120">
        <f t="shared" si="9"/>
        <v>0</v>
      </c>
      <c r="Z120">
        <f t="shared" si="10"/>
        <v>0</v>
      </c>
      <c r="AA120">
        <f t="shared" si="11"/>
        <v>0</v>
      </c>
    </row>
    <row r="121" spans="1:29" x14ac:dyDescent="0.3">
      <c r="A121" t="s">
        <v>1468</v>
      </c>
      <c r="B121" t="s">
        <v>556</v>
      </c>
      <c r="D121" t="s">
        <v>1166</v>
      </c>
      <c r="G121" s="102" t="s">
        <v>1469</v>
      </c>
      <c r="I121" t="s">
        <v>41</v>
      </c>
      <c r="J121">
        <v>0</v>
      </c>
      <c r="K121" t="s">
        <v>53</v>
      </c>
      <c r="L121" t="s">
        <v>44</v>
      </c>
      <c r="M121" t="s">
        <v>44</v>
      </c>
      <c r="O121" t="s">
        <v>45</v>
      </c>
      <c r="V121" cm="1">
        <f t="array" ref="V121">IF(W121="",U121,_xlfn.XLOOKUP(W121,$W$3:W120,$AA$3:AA120,U121,0,-1))</f>
        <v>0</v>
      </c>
      <c r="Y121">
        <f t="shared" si="9"/>
        <v>0</v>
      </c>
      <c r="Z121">
        <f t="shared" si="10"/>
        <v>0</v>
      </c>
      <c r="AA121">
        <f t="shared" si="11"/>
        <v>0</v>
      </c>
    </row>
    <row r="122" spans="1:29" x14ac:dyDescent="0.3">
      <c r="A122" t="s">
        <v>1470</v>
      </c>
      <c r="B122" t="s">
        <v>556</v>
      </c>
      <c r="D122" t="s">
        <v>1166</v>
      </c>
      <c r="G122" s="102" t="s">
        <v>1471</v>
      </c>
      <c r="I122" t="s">
        <v>41</v>
      </c>
      <c r="J122">
        <v>1</v>
      </c>
      <c r="K122" t="s">
        <v>42</v>
      </c>
      <c r="L122" t="s">
        <v>44</v>
      </c>
      <c r="M122" t="s">
        <v>44</v>
      </c>
      <c r="N122" t="s">
        <v>1472</v>
      </c>
      <c r="O122" t="s">
        <v>106</v>
      </c>
      <c r="V122" cm="1">
        <f t="array" ref="V122">IF(W122="",U122,_xlfn.XLOOKUP(W122,$W$3:W121,$AA$3:AA121,U122,0,-1))</f>
        <v>0</v>
      </c>
      <c r="Y122">
        <f t="shared" si="9"/>
        <v>0</v>
      </c>
      <c r="Z122">
        <f t="shared" si="10"/>
        <v>0</v>
      </c>
      <c r="AA122">
        <f t="shared" si="11"/>
        <v>0</v>
      </c>
    </row>
    <row r="123" spans="1:29" x14ac:dyDescent="0.3">
      <c r="A123" t="s">
        <v>1473</v>
      </c>
      <c r="B123" t="s">
        <v>556</v>
      </c>
      <c r="D123" t="s">
        <v>1166</v>
      </c>
      <c r="G123" s="102" t="s">
        <v>1474</v>
      </c>
      <c r="I123" t="s">
        <v>41</v>
      </c>
      <c r="J123">
        <v>2</v>
      </c>
      <c r="K123" t="s">
        <v>53</v>
      </c>
      <c r="L123" t="s">
        <v>44</v>
      </c>
      <c r="M123" t="s">
        <v>44</v>
      </c>
      <c r="N123" t="s">
        <v>1467</v>
      </c>
      <c r="O123" t="s">
        <v>45</v>
      </c>
      <c r="V123" cm="1">
        <f t="array" ref="V123">IF(W123="",U123,_xlfn.XLOOKUP(W123,$W$3:W122,$AA$3:AA122,U123,0,-1))</f>
        <v>0</v>
      </c>
      <c r="Y123">
        <f t="shared" si="9"/>
        <v>0</v>
      </c>
      <c r="Z123">
        <f t="shared" si="10"/>
        <v>0</v>
      </c>
      <c r="AA123">
        <f t="shared" si="11"/>
        <v>0</v>
      </c>
    </row>
    <row r="124" spans="1:29" x14ac:dyDescent="0.3">
      <c r="A124" t="s">
        <v>1475</v>
      </c>
      <c r="B124" t="s">
        <v>556</v>
      </c>
      <c r="D124" t="s">
        <v>1166</v>
      </c>
      <c r="G124" s="102" t="s">
        <v>1476</v>
      </c>
      <c r="H124" t="s">
        <v>1200</v>
      </c>
      <c r="I124" t="s">
        <v>41</v>
      </c>
      <c r="J124">
        <v>1</v>
      </c>
      <c r="O124" t="s">
        <v>157</v>
      </c>
      <c r="V124" cm="1">
        <f t="array" ref="V124">IF(W124="",U124,_xlfn.XLOOKUP(W124,$W$3:W123,$AA$3:AA123,U124,0,-1))</f>
        <v>0</v>
      </c>
      <c r="Y124">
        <f t="shared" si="9"/>
        <v>0</v>
      </c>
      <c r="Z124">
        <f t="shared" si="10"/>
        <v>0</v>
      </c>
      <c r="AA124">
        <f t="shared" si="11"/>
        <v>0</v>
      </c>
    </row>
    <row r="125" spans="1:29" x14ac:dyDescent="0.3">
      <c r="A125" t="s">
        <v>1477</v>
      </c>
      <c r="B125" t="s">
        <v>556</v>
      </c>
      <c r="D125" t="s">
        <v>1166</v>
      </c>
      <c r="G125" t="s">
        <v>1478</v>
      </c>
      <c r="I125" t="s">
        <v>41</v>
      </c>
      <c r="J125">
        <v>2</v>
      </c>
      <c r="K125" t="s">
        <v>53</v>
      </c>
      <c r="L125" t="s">
        <v>44</v>
      </c>
      <c r="M125" t="s">
        <v>44</v>
      </c>
      <c r="N125" t="s">
        <v>1479</v>
      </c>
      <c r="O125" t="s">
        <v>45</v>
      </c>
      <c r="V125" cm="1">
        <f t="array" ref="V125">IF(W125="",U125,_xlfn.XLOOKUP(W125,$W$3:W124,$AA$3:AA124,U125,0,-1))</f>
        <v>0</v>
      </c>
      <c r="Y125">
        <f t="shared" si="9"/>
        <v>0</v>
      </c>
      <c r="Z125">
        <f t="shared" si="10"/>
        <v>0</v>
      </c>
      <c r="AA125">
        <f t="shared" si="11"/>
        <v>0</v>
      </c>
    </row>
    <row r="126" spans="1:29" x14ac:dyDescent="0.3">
      <c r="A126" t="s">
        <v>1480</v>
      </c>
      <c r="B126" t="s">
        <v>556</v>
      </c>
      <c r="D126" t="s">
        <v>1166</v>
      </c>
      <c r="G126" t="s">
        <v>1481</v>
      </c>
      <c r="H126" t="s">
        <v>1482</v>
      </c>
      <c r="I126" t="s">
        <v>41</v>
      </c>
      <c r="J126">
        <v>1</v>
      </c>
      <c r="K126" t="s">
        <v>53</v>
      </c>
      <c r="L126" t="s">
        <v>44</v>
      </c>
      <c r="M126" t="s">
        <v>44</v>
      </c>
      <c r="N126" t="s">
        <v>1483</v>
      </c>
      <c r="O126" t="s">
        <v>106</v>
      </c>
      <c r="V126" cm="1">
        <f t="array" ref="V126">IF(W126="",U126,_xlfn.XLOOKUP(W126,$W$3:W125,$AA$3:AA125,U126,0,-1))</f>
        <v>0</v>
      </c>
      <c r="Y126">
        <f t="shared" si="9"/>
        <v>0</v>
      </c>
      <c r="Z126">
        <f t="shared" si="10"/>
        <v>0</v>
      </c>
      <c r="AA126">
        <f t="shared" si="11"/>
        <v>0</v>
      </c>
    </row>
    <row r="127" spans="1:29" x14ac:dyDescent="0.3">
      <c r="A127" t="s">
        <v>1484</v>
      </c>
      <c r="B127" t="s">
        <v>556</v>
      </c>
      <c r="D127" t="s">
        <v>1166</v>
      </c>
      <c r="G127" t="s">
        <v>1485</v>
      </c>
      <c r="I127" t="s">
        <v>41</v>
      </c>
      <c r="J127">
        <v>2</v>
      </c>
      <c r="K127" t="s">
        <v>53</v>
      </c>
      <c r="L127" t="s">
        <v>44</v>
      </c>
      <c r="M127" t="s">
        <v>44</v>
      </c>
      <c r="O127" t="s">
        <v>45</v>
      </c>
      <c r="V127" cm="1">
        <f t="array" ref="V127">IF(W127="",U127,_xlfn.XLOOKUP(W127,$W$3:W126,$AA$3:AA126,U127,0,-1))</f>
        <v>0</v>
      </c>
      <c r="Y127">
        <f t="shared" si="9"/>
        <v>0</v>
      </c>
      <c r="Z127">
        <f t="shared" si="10"/>
        <v>0</v>
      </c>
      <c r="AA127">
        <f t="shared" si="11"/>
        <v>0</v>
      </c>
    </row>
    <row r="128" spans="1:29" x14ac:dyDescent="0.3">
      <c r="A128" t="s">
        <v>1486</v>
      </c>
      <c r="B128" t="s">
        <v>556</v>
      </c>
      <c r="D128" t="s">
        <v>1166</v>
      </c>
      <c r="G128" t="s">
        <v>1487</v>
      </c>
      <c r="H128" t="s">
        <v>1488</v>
      </c>
      <c r="I128" t="s">
        <v>41</v>
      </c>
      <c r="J128">
        <v>1</v>
      </c>
      <c r="N128" t="s">
        <v>1450</v>
      </c>
      <c r="O128" t="s">
        <v>157</v>
      </c>
      <c r="V128" cm="1">
        <f t="array" ref="V128">IF(W128="",U128,_xlfn.XLOOKUP(W128,$W$3:W127,$AA$3:AA127,U128,0,-1))</f>
        <v>0</v>
      </c>
      <c r="Y128">
        <f t="shared" si="9"/>
        <v>0</v>
      </c>
      <c r="Z128">
        <f t="shared" si="10"/>
        <v>0</v>
      </c>
      <c r="AA128">
        <f t="shared" si="11"/>
        <v>0</v>
      </c>
    </row>
    <row r="129" spans="1:27" x14ac:dyDescent="0.3">
      <c r="A129" t="s">
        <v>1489</v>
      </c>
      <c r="B129" t="s">
        <v>556</v>
      </c>
      <c r="D129" t="s">
        <v>1166</v>
      </c>
      <c r="G129" t="s">
        <v>1490</v>
      </c>
      <c r="I129" t="s">
        <v>41</v>
      </c>
      <c r="J129">
        <v>1</v>
      </c>
      <c r="K129" t="s">
        <v>53</v>
      </c>
      <c r="L129" t="s">
        <v>44</v>
      </c>
      <c r="M129" t="s">
        <v>44</v>
      </c>
      <c r="O129" t="s">
        <v>119</v>
      </c>
      <c r="V129" cm="1">
        <f t="array" ref="V129">IF(W129="",U129,_xlfn.XLOOKUP(W129,$W$3:W128,$AA$3:AA128,U129,0,-1))</f>
        <v>0</v>
      </c>
      <c r="Y129">
        <f t="shared" si="9"/>
        <v>0</v>
      </c>
      <c r="Z129">
        <f t="shared" si="10"/>
        <v>0</v>
      </c>
      <c r="AA129">
        <f t="shared" si="11"/>
        <v>0</v>
      </c>
    </row>
    <row r="130" spans="1:27" x14ac:dyDescent="0.3">
      <c r="A130" t="s">
        <v>1491</v>
      </c>
      <c r="B130" t="s">
        <v>556</v>
      </c>
      <c r="D130" t="s">
        <v>1166</v>
      </c>
      <c r="G130" s="102" t="s">
        <v>1492</v>
      </c>
      <c r="I130" t="s">
        <v>41</v>
      </c>
      <c r="K130" t="s">
        <v>53</v>
      </c>
      <c r="L130" t="s">
        <v>44</v>
      </c>
      <c r="M130" t="s">
        <v>44</v>
      </c>
      <c r="O130" t="s">
        <v>45</v>
      </c>
      <c r="V130" cm="1">
        <f t="array" ref="V130">IF(W130="",U130,_xlfn.XLOOKUP(W130,$W$3:W129,$AA$3:AA129,U130,0,-1))</f>
        <v>0</v>
      </c>
      <c r="Y130">
        <f t="shared" si="9"/>
        <v>0</v>
      </c>
      <c r="Z130">
        <f t="shared" si="10"/>
        <v>0</v>
      </c>
      <c r="AA130">
        <f t="shared" si="11"/>
        <v>0</v>
      </c>
    </row>
    <row r="131" spans="1:27" x14ac:dyDescent="0.3">
      <c r="A131" t="s">
        <v>1493</v>
      </c>
      <c r="B131" t="s">
        <v>556</v>
      </c>
      <c r="D131" t="s">
        <v>1166</v>
      </c>
      <c r="G131" t="s">
        <v>1494</v>
      </c>
      <c r="H131" t="s">
        <v>1495</v>
      </c>
      <c r="I131" t="s">
        <v>41</v>
      </c>
      <c r="O131" t="s">
        <v>157</v>
      </c>
      <c r="V131" cm="1">
        <f t="array" ref="V131">IF(W131="",U131,_xlfn.XLOOKUP(W131,$W$3:W130,$AA$3:AA130,U131,0,-1))</f>
        <v>0</v>
      </c>
      <c r="Y131">
        <f t="shared" ref="Y131:Y158" si="12">(R131-S131)*X131*U131</f>
        <v>0</v>
      </c>
      <c r="Z131">
        <f t="shared" ref="Z131:Z158" si="13">(R131-S131)*X131*V131</f>
        <v>0</v>
      </c>
      <c r="AA131">
        <f t="shared" ref="AA131:AA158" si="14">V131-Z131</f>
        <v>0</v>
      </c>
    </row>
    <row r="132" spans="1:27" x14ac:dyDescent="0.3">
      <c r="A132" t="s">
        <v>1496</v>
      </c>
      <c r="B132" t="s">
        <v>556</v>
      </c>
      <c r="D132" t="s">
        <v>1166</v>
      </c>
      <c r="G132" s="102" t="s">
        <v>1497</v>
      </c>
      <c r="I132" t="s">
        <v>41</v>
      </c>
      <c r="N132" t="s">
        <v>1498</v>
      </c>
      <c r="O132" t="s">
        <v>106</v>
      </c>
      <c r="V132" cm="1">
        <f t="array" ref="V132">IF(W132="",U132,_xlfn.XLOOKUP(W132,$W$3:W131,$AA$3:AA131,U132,0,-1))</f>
        <v>0</v>
      </c>
      <c r="Y132">
        <f t="shared" si="12"/>
        <v>0</v>
      </c>
      <c r="Z132">
        <f t="shared" si="13"/>
        <v>0</v>
      </c>
      <c r="AA132">
        <f t="shared" si="14"/>
        <v>0</v>
      </c>
    </row>
    <row r="133" spans="1:27" x14ac:dyDescent="0.3">
      <c r="A133" t="s">
        <v>1499</v>
      </c>
      <c r="B133" t="s">
        <v>556</v>
      </c>
      <c r="D133" t="s">
        <v>1166</v>
      </c>
      <c r="G133" t="s">
        <v>1500</v>
      </c>
      <c r="H133" t="s">
        <v>1501</v>
      </c>
      <c r="I133" t="s">
        <v>41</v>
      </c>
      <c r="K133" t="s">
        <v>42</v>
      </c>
      <c r="L133" t="s">
        <v>111</v>
      </c>
      <c r="M133" t="s">
        <v>111</v>
      </c>
      <c r="N133" t="s">
        <v>1467</v>
      </c>
      <c r="O133" t="s">
        <v>106</v>
      </c>
      <c r="V133" cm="1">
        <f t="array" ref="V133">IF(W133="",U133,_xlfn.XLOOKUP(W133,$W$3:W132,$AA$3:AA132,U133,0,-1))</f>
        <v>0</v>
      </c>
      <c r="Y133">
        <f t="shared" si="12"/>
        <v>0</v>
      </c>
      <c r="Z133">
        <f t="shared" si="13"/>
        <v>0</v>
      </c>
      <c r="AA133">
        <f t="shared" si="14"/>
        <v>0</v>
      </c>
    </row>
    <row r="134" spans="1:27" x14ac:dyDescent="0.3">
      <c r="A134" t="s">
        <v>1502</v>
      </c>
      <c r="B134" t="s">
        <v>556</v>
      </c>
      <c r="D134" t="s">
        <v>1166</v>
      </c>
      <c r="G134" t="s">
        <v>1503</v>
      </c>
      <c r="H134" t="s">
        <v>1504</v>
      </c>
      <c r="I134" t="s">
        <v>41</v>
      </c>
      <c r="K134" t="s">
        <v>86</v>
      </c>
      <c r="L134" t="s">
        <v>43</v>
      </c>
      <c r="M134" t="s">
        <v>111</v>
      </c>
      <c r="O134" t="s">
        <v>106</v>
      </c>
      <c r="V134" cm="1">
        <f t="array" ref="V134">IF(W134="",U134,_xlfn.XLOOKUP(W134,$W$3:W133,$AA$3:AA133,U134,0,-1))</f>
        <v>0</v>
      </c>
      <c r="Y134">
        <f t="shared" si="12"/>
        <v>0</v>
      </c>
      <c r="Z134">
        <f t="shared" si="13"/>
        <v>0</v>
      </c>
      <c r="AA134">
        <f t="shared" si="14"/>
        <v>0</v>
      </c>
    </row>
    <row r="135" spans="1:27" x14ac:dyDescent="0.3">
      <c r="A135" t="s">
        <v>1505</v>
      </c>
      <c r="B135" t="s">
        <v>556</v>
      </c>
      <c r="D135" t="s">
        <v>1166</v>
      </c>
      <c r="G135" t="s">
        <v>1506</v>
      </c>
      <c r="I135" t="s">
        <v>41</v>
      </c>
      <c r="O135" t="s">
        <v>157</v>
      </c>
      <c r="V135" cm="1">
        <f t="array" ref="V135">IF(W135="",U135,_xlfn.XLOOKUP(W135,$W$3:W134,$AA$3:AA134,U135,0,-1))</f>
        <v>0</v>
      </c>
      <c r="Y135">
        <f t="shared" si="12"/>
        <v>0</v>
      </c>
      <c r="Z135">
        <f t="shared" si="13"/>
        <v>0</v>
      </c>
      <c r="AA135">
        <f t="shared" si="14"/>
        <v>0</v>
      </c>
    </row>
    <row r="136" spans="1:27" x14ac:dyDescent="0.3">
      <c r="A136" t="s">
        <v>1507</v>
      </c>
      <c r="B136" t="s">
        <v>556</v>
      </c>
      <c r="D136" t="s">
        <v>1166</v>
      </c>
      <c r="G136" t="s">
        <v>1508</v>
      </c>
      <c r="I136" t="s">
        <v>41</v>
      </c>
      <c r="K136" t="s">
        <v>42</v>
      </c>
      <c r="L136" t="s">
        <v>43</v>
      </c>
      <c r="M136" t="s">
        <v>43</v>
      </c>
      <c r="N136" t="s">
        <v>1472</v>
      </c>
      <c r="O136" t="s">
        <v>106</v>
      </c>
      <c r="V136" cm="1">
        <f t="array" ref="V136">IF(W136="",U136,_xlfn.XLOOKUP(W136,$W$3:W135,$AA$3:AA135,U136,0,-1))</f>
        <v>0</v>
      </c>
      <c r="Y136">
        <f t="shared" si="12"/>
        <v>0</v>
      </c>
      <c r="Z136">
        <f t="shared" si="13"/>
        <v>0</v>
      </c>
      <c r="AA136">
        <f t="shared" si="14"/>
        <v>0</v>
      </c>
    </row>
    <row r="137" spans="1:27" x14ac:dyDescent="0.3">
      <c r="A137" t="s">
        <v>1509</v>
      </c>
      <c r="B137" t="s">
        <v>556</v>
      </c>
      <c r="D137" t="s">
        <v>1166</v>
      </c>
      <c r="G137" t="s">
        <v>1510</v>
      </c>
      <c r="H137" t="s">
        <v>1211</v>
      </c>
      <c r="I137" t="s">
        <v>41</v>
      </c>
      <c r="N137" t="s">
        <v>1511</v>
      </c>
      <c r="O137" t="s">
        <v>157</v>
      </c>
      <c r="V137" cm="1">
        <f t="array" ref="V137">IF(W137="",U137,_xlfn.XLOOKUP(W137,$W$3:W136,$AA$3:AA136,U137,0,-1))</f>
        <v>0</v>
      </c>
      <c r="Y137">
        <f t="shared" si="12"/>
        <v>0</v>
      </c>
      <c r="Z137">
        <f t="shared" si="13"/>
        <v>0</v>
      </c>
      <c r="AA137">
        <f t="shared" si="14"/>
        <v>0</v>
      </c>
    </row>
    <row r="138" spans="1:27" x14ac:dyDescent="0.3">
      <c r="A138" t="s">
        <v>1512</v>
      </c>
      <c r="B138" t="s">
        <v>556</v>
      </c>
      <c r="D138" t="s">
        <v>1166</v>
      </c>
      <c r="G138" t="s">
        <v>1513</v>
      </c>
      <c r="H138" t="s">
        <v>1514</v>
      </c>
      <c r="I138" t="s">
        <v>41</v>
      </c>
      <c r="N138" t="s">
        <v>1511</v>
      </c>
      <c r="O138" t="s">
        <v>157</v>
      </c>
      <c r="V138" cm="1">
        <f t="array" ref="V138">IF(W138="",U138,_xlfn.XLOOKUP(W138,$W$3:W137,$AA$3:AA137,U138,0,-1))</f>
        <v>0</v>
      </c>
      <c r="Y138">
        <f t="shared" si="12"/>
        <v>0</v>
      </c>
      <c r="Z138">
        <f t="shared" si="13"/>
        <v>0</v>
      </c>
      <c r="AA138">
        <f t="shared" si="14"/>
        <v>0</v>
      </c>
    </row>
    <row r="139" spans="1:27" x14ac:dyDescent="0.3">
      <c r="A139" t="s">
        <v>1515</v>
      </c>
      <c r="B139" t="s">
        <v>556</v>
      </c>
      <c r="D139" t="s">
        <v>1166</v>
      </c>
      <c r="G139" t="s">
        <v>1516</v>
      </c>
      <c r="H139" t="s">
        <v>1517</v>
      </c>
      <c r="I139" t="s">
        <v>52</v>
      </c>
      <c r="K139" t="s">
        <v>53</v>
      </c>
      <c r="L139" t="s">
        <v>44</v>
      </c>
      <c r="M139" t="s">
        <v>111</v>
      </c>
      <c r="O139" t="s">
        <v>106</v>
      </c>
      <c r="V139" cm="1">
        <f t="array" ref="V139">IF(W139="",U139,_xlfn.XLOOKUP(W139,$W$3:W138,$AA$3:AA138,U139,0,-1))</f>
        <v>0</v>
      </c>
      <c r="Y139">
        <f t="shared" si="12"/>
        <v>0</v>
      </c>
      <c r="Z139">
        <f t="shared" si="13"/>
        <v>0</v>
      </c>
      <c r="AA139">
        <f t="shared" si="14"/>
        <v>0</v>
      </c>
    </row>
    <row r="140" spans="1:27" x14ac:dyDescent="0.3">
      <c r="A140" t="s">
        <v>1518</v>
      </c>
      <c r="B140" t="s">
        <v>556</v>
      </c>
      <c r="D140" t="s">
        <v>1166</v>
      </c>
      <c r="G140" t="s">
        <v>1519</v>
      </c>
      <c r="H140" t="s">
        <v>1520</v>
      </c>
      <c r="I140" t="s">
        <v>52</v>
      </c>
      <c r="J140">
        <v>1</v>
      </c>
      <c r="K140" t="s">
        <v>42</v>
      </c>
      <c r="L140" t="s">
        <v>111</v>
      </c>
      <c r="M140" t="s">
        <v>111</v>
      </c>
      <c r="N140" t="s">
        <v>1460</v>
      </c>
      <c r="O140" s="427" t="s">
        <v>45</v>
      </c>
      <c r="V140" cm="1">
        <f t="array" ref="V140">IF(W140="",U140,_xlfn.XLOOKUP(W140,$W$3:W139,$AA$3:AA139,U140,0,-1))</f>
        <v>0</v>
      </c>
      <c r="Y140">
        <f t="shared" si="12"/>
        <v>0</v>
      </c>
      <c r="Z140">
        <f t="shared" si="13"/>
        <v>0</v>
      </c>
      <c r="AA140">
        <f t="shared" si="14"/>
        <v>0</v>
      </c>
    </row>
    <row r="141" spans="1:27" x14ac:dyDescent="0.3">
      <c r="A141" t="s">
        <v>1521</v>
      </c>
      <c r="B141" t="s">
        <v>556</v>
      </c>
      <c r="D141" t="s">
        <v>1166</v>
      </c>
      <c r="G141" t="s">
        <v>1522</v>
      </c>
      <c r="H141" t="s">
        <v>1523</v>
      </c>
      <c r="I141" t="s">
        <v>41</v>
      </c>
      <c r="N141" t="s">
        <v>1524</v>
      </c>
      <c r="O141" t="s">
        <v>157</v>
      </c>
      <c r="V141" cm="1">
        <f t="array" ref="V141">IF(W141="",U141,_xlfn.XLOOKUP(W141,$W$3:W140,$AA$3:AA140,U141,0,-1))</f>
        <v>0</v>
      </c>
      <c r="Y141">
        <f t="shared" si="12"/>
        <v>0</v>
      </c>
      <c r="Z141">
        <f t="shared" si="13"/>
        <v>0</v>
      </c>
      <c r="AA141">
        <f t="shared" si="14"/>
        <v>0</v>
      </c>
    </row>
    <row r="142" spans="1:27" x14ac:dyDescent="0.3">
      <c r="A142" t="s">
        <v>1525</v>
      </c>
      <c r="B142" t="s">
        <v>556</v>
      </c>
      <c r="D142" t="s">
        <v>1166</v>
      </c>
      <c r="G142" s="102" t="s">
        <v>1526</v>
      </c>
      <c r="H142" t="s">
        <v>1527</v>
      </c>
      <c r="I142" t="s">
        <v>41</v>
      </c>
      <c r="K142" t="s">
        <v>42</v>
      </c>
      <c r="L142" t="s">
        <v>44</v>
      </c>
      <c r="M142" t="s">
        <v>44</v>
      </c>
      <c r="N142" t="s">
        <v>1528</v>
      </c>
      <c r="O142" t="s">
        <v>119</v>
      </c>
      <c r="V142" cm="1">
        <f t="array" ref="V142">IF(W142="",U142,_xlfn.XLOOKUP(W142,$W$3:W141,$AA$3:AA141,U142,0,-1))</f>
        <v>0</v>
      </c>
      <c r="Y142">
        <f t="shared" si="12"/>
        <v>0</v>
      </c>
      <c r="Z142">
        <f t="shared" si="13"/>
        <v>0</v>
      </c>
      <c r="AA142">
        <f t="shared" si="14"/>
        <v>0</v>
      </c>
    </row>
    <row r="143" spans="1:27" x14ac:dyDescent="0.3">
      <c r="A143" t="s">
        <v>1529</v>
      </c>
      <c r="B143" t="s">
        <v>556</v>
      </c>
      <c r="D143" t="s">
        <v>1166</v>
      </c>
      <c r="G143" t="s">
        <v>1530</v>
      </c>
      <c r="I143" t="s">
        <v>52</v>
      </c>
      <c r="K143" t="s">
        <v>53</v>
      </c>
      <c r="L143" t="s">
        <v>43</v>
      </c>
      <c r="M143" t="s">
        <v>43</v>
      </c>
      <c r="N143" t="s">
        <v>1531</v>
      </c>
      <c r="O143" t="s">
        <v>106</v>
      </c>
      <c r="V143" cm="1">
        <f t="array" ref="V143">IF(W143="",U143,_xlfn.XLOOKUP(W143,$W$3:W142,$AA$3:AA142,U143,0,-1))</f>
        <v>0</v>
      </c>
      <c r="Y143">
        <f t="shared" si="12"/>
        <v>0</v>
      </c>
      <c r="Z143">
        <f t="shared" si="13"/>
        <v>0</v>
      </c>
      <c r="AA143">
        <f t="shared" si="14"/>
        <v>0</v>
      </c>
    </row>
    <row r="144" spans="1:27" x14ac:dyDescent="0.3">
      <c r="A144" t="s">
        <v>1532</v>
      </c>
      <c r="B144" t="s">
        <v>556</v>
      </c>
      <c r="D144" t="s">
        <v>1166</v>
      </c>
      <c r="G144" t="s">
        <v>1533</v>
      </c>
      <c r="H144" t="s">
        <v>1534</v>
      </c>
      <c r="I144" t="s">
        <v>41</v>
      </c>
      <c r="O144" t="s">
        <v>157</v>
      </c>
      <c r="V144" cm="1">
        <f t="array" ref="V144">IF(W144="",U144,_xlfn.XLOOKUP(W144,$W$3:W143,$AA$3:AA143,U144,0,-1))</f>
        <v>0</v>
      </c>
      <c r="Y144">
        <f t="shared" si="12"/>
        <v>0</v>
      </c>
      <c r="Z144">
        <f t="shared" si="13"/>
        <v>0</v>
      </c>
      <c r="AA144">
        <f t="shared" si="14"/>
        <v>0</v>
      </c>
    </row>
    <row r="145" spans="1:29" x14ac:dyDescent="0.3">
      <c r="A145" t="s">
        <v>1535</v>
      </c>
      <c r="B145" t="s">
        <v>556</v>
      </c>
      <c r="D145" t="s">
        <v>1166</v>
      </c>
      <c r="G145" t="s">
        <v>1536</v>
      </c>
      <c r="H145" t="s">
        <v>1488</v>
      </c>
      <c r="I145" t="s">
        <v>41</v>
      </c>
      <c r="O145" t="s">
        <v>157</v>
      </c>
      <c r="V145" cm="1">
        <f t="array" ref="V145">IF(W145="",U145,_xlfn.XLOOKUP(W145,$W$3:W144,$AA$3:AA144,U145,0,-1))</f>
        <v>0</v>
      </c>
      <c r="Y145">
        <f t="shared" si="12"/>
        <v>0</v>
      </c>
      <c r="Z145">
        <f t="shared" si="13"/>
        <v>0</v>
      </c>
      <c r="AA145">
        <f t="shared" si="14"/>
        <v>0</v>
      </c>
    </row>
    <row r="146" spans="1:29" x14ac:dyDescent="0.3">
      <c r="A146" t="s">
        <v>1537</v>
      </c>
      <c r="B146" t="s">
        <v>556</v>
      </c>
      <c r="D146" t="s">
        <v>1166</v>
      </c>
      <c r="G146" t="s">
        <v>1538</v>
      </c>
      <c r="H146" t="s">
        <v>1539</v>
      </c>
      <c r="I146" t="s">
        <v>41</v>
      </c>
      <c r="K146" t="s">
        <v>53</v>
      </c>
      <c r="L146" t="s">
        <v>44</v>
      </c>
      <c r="M146" t="s">
        <v>44</v>
      </c>
      <c r="N146" t="s">
        <v>1540</v>
      </c>
      <c r="O146" t="s">
        <v>106</v>
      </c>
      <c r="V146" cm="1">
        <f t="array" ref="V146">IF(W146="",U146,_xlfn.XLOOKUP(W146,$W$3:W145,$AA$3:AA145,U146,0,-1))</f>
        <v>0</v>
      </c>
      <c r="Y146">
        <f t="shared" si="12"/>
        <v>0</v>
      </c>
      <c r="Z146">
        <f t="shared" si="13"/>
        <v>0</v>
      </c>
      <c r="AA146">
        <f t="shared" si="14"/>
        <v>0</v>
      </c>
    </row>
    <row r="147" spans="1:29" x14ac:dyDescent="0.3">
      <c r="A147" t="s">
        <v>1541</v>
      </c>
      <c r="B147" t="s">
        <v>556</v>
      </c>
      <c r="D147" t="s">
        <v>1166</v>
      </c>
      <c r="G147" t="s">
        <v>1542</v>
      </c>
      <c r="H147" t="s">
        <v>1211</v>
      </c>
      <c r="I147" t="s">
        <v>140</v>
      </c>
      <c r="O147" t="s">
        <v>157</v>
      </c>
      <c r="V147" cm="1">
        <f t="array" ref="V147">IF(W147="",U147,_xlfn.XLOOKUP(W147,$W$3:W146,$AA$3:AA146,U147,0,-1))</f>
        <v>0</v>
      </c>
      <c r="Y147">
        <f t="shared" si="12"/>
        <v>0</v>
      </c>
      <c r="Z147">
        <f t="shared" si="13"/>
        <v>0</v>
      </c>
      <c r="AA147">
        <f t="shared" si="14"/>
        <v>0</v>
      </c>
    </row>
    <row r="148" spans="1:29" x14ac:dyDescent="0.3">
      <c r="A148" t="s">
        <v>1543</v>
      </c>
      <c r="B148" t="s">
        <v>556</v>
      </c>
      <c r="D148" t="s">
        <v>1166</v>
      </c>
      <c r="G148" t="s">
        <v>1544</v>
      </c>
      <c r="H148" t="s">
        <v>1545</v>
      </c>
      <c r="I148" t="s">
        <v>140</v>
      </c>
      <c r="O148" t="s">
        <v>157</v>
      </c>
      <c r="V148" cm="1">
        <f t="array" ref="V148">IF(W148="",U148,_xlfn.XLOOKUP(W148,$W$3:W147,$AA$3:AA147,U148,0,-1))</f>
        <v>0</v>
      </c>
      <c r="Y148">
        <f t="shared" si="12"/>
        <v>0</v>
      </c>
      <c r="Z148">
        <f t="shared" si="13"/>
        <v>0</v>
      </c>
      <c r="AA148">
        <f t="shared" si="14"/>
        <v>0</v>
      </c>
    </row>
    <row r="149" spans="1:29" x14ac:dyDescent="0.3">
      <c r="A149" t="s">
        <v>1546</v>
      </c>
      <c r="B149" t="s">
        <v>556</v>
      </c>
      <c r="D149" t="s">
        <v>1166</v>
      </c>
      <c r="G149" t="s">
        <v>1547</v>
      </c>
      <c r="H149" t="s">
        <v>1548</v>
      </c>
      <c r="I149" t="s">
        <v>52</v>
      </c>
      <c r="K149" t="s">
        <v>86</v>
      </c>
      <c r="L149" t="s">
        <v>111</v>
      </c>
      <c r="M149" t="s">
        <v>111</v>
      </c>
      <c r="O149" t="s">
        <v>106</v>
      </c>
      <c r="V149" cm="1">
        <f t="array" ref="V149">IF(W149="",U149,_xlfn.XLOOKUP(W149,$W$3:W148,$AA$3:AA148,U149,0,-1))</f>
        <v>0</v>
      </c>
      <c r="Y149">
        <f t="shared" si="12"/>
        <v>0</v>
      </c>
      <c r="Z149">
        <f t="shared" si="13"/>
        <v>0</v>
      </c>
      <c r="AA149">
        <f t="shared" si="14"/>
        <v>0</v>
      </c>
    </row>
    <row r="150" spans="1:29" x14ac:dyDescent="0.3">
      <c r="A150" t="s">
        <v>1549</v>
      </c>
      <c r="B150" t="s">
        <v>556</v>
      </c>
      <c r="D150" t="s">
        <v>1166</v>
      </c>
      <c r="G150" t="s">
        <v>1550</v>
      </c>
      <c r="H150" t="s">
        <v>1551</v>
      </c>
      <c r="I150" t="s">
        <v>140</v>
      </c>
      <c r="K150" t="s">
        <v>86</v>
      </c>
      <c r="L150" t="s">
        <v>43</v>
      </c>
      <c r="M150" t="s">
        <v>43</v>
      </c>
      <c r="O150" t="s">
        <v>106</v>
      </c>
      <c r="V150" cm="1">
        <f t="array" ref="V150">IF(W150="",U150,_xlfn.XLOOKUP(W150,$W$3:W149,$AA$3:AA149,U150,0,-1))</f>
        <v>0</v>
      </c>
      <c r="Y150">
        <f t="shared" si="12"/>
        <v>0</v>
      </c>
      <c r="Z150">
        <f t="shared" si="13"/>
        <v>0</v>
      </c>
      <c r="AA150">
        <f t="shared" si="14"/>
        <v>0</v>
      </c>
    </row>
    <row r="151" spans="1:29" x14ac:dyDescent="0.3">
      <c r="A151" t="s">
        <v>1552</v>
      </c>
      <c r="B151" t="s">
        <v>556</v>
      </c>
      <c r="D151" t="s">
        <v>1166</v>
      </c>
      <c r="G151" t="s">
        <v>1553</v>
      </c>
      <c r="H151" t="s">
        <v>1554</v>
      </c>
      <c r="I151" t="s">
        <v>140</v>
      </c>
      <c r="O151" t="s">
        <v>157</v>
      </c>
      <c r="V151" cm="1">
        <f t="array" ref="V151">IF(W151="",U151,_xlfn.XLOOKUP(W151,$W$3:W150,$AA$3:AA150,U151,0,-1))</f>
        <v>0</v>
      </c>
      <c r="Y151">
        <f t="shared" si="12"/>
        <v>0</v>
      </c>
      <c r="Z151">
        <f t="shared" si="13"/>
        <v>0</v>
      </c>
      <c r="AA151">
        <f t="shared" si="14"/>
        <v>0</v>
      </c>
    </row>
    <row r="152" spans="1:29" x14ac:dyDescent="0.3">
      <c r="A152" t="s">
        <v>1555</v>
      </c>
      <c r="B152" t="s">
        <v>556</v>
      </c>
      <c r="D152" t="s">
        <v>1166</v>
      </c>
      <c r="G152" t="s">
        <v>1556</v>
      </c>
      <c r="H152" t="s">
        <v>1557</v>
      </c>
      <c r="I152" t="s">
        <v>140</v>
      </c>
      <c r="K152" t="s">
        <v>42</v>
      </c>
      <c r="N152" t="s">
        <v>1464</v>
      </c>
      <c r="O152" t="s">
        <v>157</v>
      </c>
      <c r="V152" cm="1">
        <f t="array" ref="V152">IF(W152="",U152,_xlfn.XLOOKUP(W152,$W$3:W151,$AA$3:AA151,U152,0,-1))</f>
        <v>0</v>
      </c>
      <c r="Y152">
        <f t="shared" si="12"/>
        <v>0</v>
      </c>
      <c r="Z152">
        <f t="shared" si="13"/>
        <v>0</v>
      </c>
      <c r="AA152">
        <f t="shared" si="14"/>
        <v>0</v>
      </c>
    </row>
    <row r="153" spans="1:29" x14ac:dyDescent="0.3">
      <c r="B153" t="s">
        <v>556</v>
      </c>
      <c r="G153" t="s">
        <v>1558</v>
      </c>
      <c r="H153" t="s">
        <v>1559</v>
      </c>
      <c r="I153" t="s">
        <v>52</v>
      </c>
      <c r="K153" t="s">
        <v>42</v>
      </c>
      <c r="L153" t="s">
        <v>111</v>
      </c>
      <c r="M153" t="s">
        <v>111</v>
      </c>
      <c r="O153" t="s">
        <v>106</v>
      </c>
      <c r="V153" cm="1">
        <f t="array" ref="V153">IF(W153="",U153,_xlfn.XLOOKUP(W153,$W$3:W152,$AA$3:AA152,U153,0,-1))</f>
        <v>0</v>
      </c>
      <c r="Y153">
        <f t="shared" si="12"/>
        <v>0</v>
      </c>
      <c r="Z153">
        <f t="shared" si="13"/>
        <v>0</v>
      </c>
      <c r="AA153">
        <f t="shared" si="14"/>
        <v>0</v>
      </c>
    </row>
    <row r="154" spans="1:29" x14ac:dyDescent="0.3">
      <c r="B154" t="s">
        <v>556</v>
      </c>
      <c r="G154" t="s">
        <v>1560</v>
      </c>
      <c r="H154" t="s">
        <v>1561</v>
      </c>
      <c r="I154" t="s">
        <v>52</v>
      </c>
      <c r="O154" t="s">
        <v>157</v>
      </c>
      <c r="V154" cm="1">
        <f t="array" ref="V154">IF(W154="",U154,_xlfn.XLOOKUP(W154,$W$3:W153,$AA$3:AA153,U154,0,-1))</f>
        <v>0</v>
      </c>
      <c r="Y154">
        <f t="shared" si="12"/>
        <v>0</v>
      </c>
      <c r="Z154">
        <f t="shared" si="13"/>
        <v>0</v>
      </c>
      <c r="AA154">
        <f t="shared" si="14"/>
        <v>0</v>
      </c>
    </row>
    <row r="155" spans="1:29" x14ac:dyDescent="0.3">
      <c r="B155" t="s">
        <v>556</v>
      </c>
      <c r="G155" t="s">
        <v>1562</v>
      </c>
      <c r="I155" t="s">
        <v>52</v>
      </c>
      <c r="K155" t="s">
        <v>53</v>
      </c>
      <c r="L155" t="s">
        <v>44</v>
      </c>
      <c r="M155" t="s">
        <v>44</v>
      </c>
      <c r="O155" t="s">
        <v>106</v>
      </c>
      <c r="V155" cm="1">
        <f t="array" ref="V155">IF(W155="",U155,_xlfn.XLOOKUP(W155,$W$3:W154,$AA$3:AA154,U155,0,-1))</f>
        <v>0</v>
      </c>
      <c r="Y155">
        <f t="shared" si="12"/>
        <v>0</v>
      </c>
      <c r="Z155">
        <f t="shared" si="13"/>
        <v>0</v>
      </c>
      <c r="AA155">
        <f t="shared" si="14"/>
        <v>0</v>
      </c>
    </row>
    <row r="156" spans="1:29" x14ac:dyDescent="0.3">
      <c r="B156" t="s">
        <v>556</v>
      </c>
      <c r="G156" t="s">
        <v>1563</v>
      </c>
      <c r="H156" t="s">
        <v>1564</v>
      </c>
      <c r="I156" t="s">
        <v>52</v>
      </c>
      <c r="K156" t="s">
        <v>42</v>
      </c>
      <c r="L156" t="s">
        <v>111</v>
      </c>
      <c r="M156" t="s">
        <v>111</v>
      </c>
      <c r="O156" t="s">
        <v>106</v>
      </c>
      <c r="V156" cm="1">
        <f t="array" ref="V156">IF(W156="",U156,_xlfn.XLOOKUP(W156,$W$3:W155,$AA$3:AA155,U156,0,-1))</f>
        <v>0</v>
      </c>
      <c r="Y156">
        <f t="shared" si="12"/>
        <v>0</v>
      </c>
      <c r="Z156">
        <f t="shared" si="13"/>
        <v>0</v>
      </c>
      <c r="AA156">
        <f t="shared" si="14"/>
        <v>0</v>
      </c>
    </row>
    <row r="157" spans="1:29" x14ac:dyDescent="0.3">
      <c r="B157" t="s">
        <v>556</v>
      </c>
      <c r="G157" t="s">
        <v>1565</v>
      </c>
      <c r="H157" t="s">
        <v>1566</v>
      </c>
      <c r="I157" t="s">
        <v>52</v>
      </c>
      <c r="K157" t="s">
        <v>42</v>
      </c>
      <c r="L157" t="s">
        <v>111</v>
      </c>
      <c r="M157" t="s">
        <v>111</v>
      </c>
      <c r="O157" t="s">
        <v>106</v>
      </c>
      <c r="V157" cm="1">
        <f t="array" ref="V157">IF(W157="",U157,_xlfn.XLOOKUP(W157,$W$3:W156,$AA$3:AA156,U157,0,-1))</f>
        <v>0</v>
      </c>
      <c r="Y157">
        <f t="shared" si="12"/>
        <v>0</v>
      </c>
      <c r="Z157">
        <f t="shared" si="13"/>
        <v>0</v>
      </c>
      <c r="AA157">
        <f t="shared" si="14"/>
        <v>0</v>
      </c>
    </row>
    <row r="158" spans="1:29" ht="16.350000000000001" customHeight="1" x14ac:dyDescent="0.3">
      <c r="B158" t="s">
        <v>556</v>
      </c>
      <c r="G158" t="s">
        <v>1567</v>
      </c>
      <c r="I158" t="s">
        <v>41</v>
      </c>
      <c r="K158" t="s">
        <v>42</v>
      </c>
      <c r="L158" t="s">
        <v>111</v>
      </c>
      <c r="M158" t="s">
        <v>111</v>
      </c>
      <c r="O158" t="s">
        <v>45</v>
      </c>
      <c r="V158" cm="1">
        <f t="array" ref="V158">IF(W158="",U158,_xlfn.XLOOKUP(W158,$W$3:W157,$AA$3:AA157,U158,0,-1))</f>
        <v>0</v>
      </c>
      <c r="Y158">
        <f t="shared" si="12"/>
        <v>0</v>
      </c>
      <c r="Z158">
        <f t="shared" si="13"/>
        <v>0</v>
      </c>
      <c r="AA158">
        <f t="shared" si="14"/>
        <v>0</v>
      </c>
      <c r="AB158" t="s">
        <v>597</v>
      </c>
    </row>
    <row r="159" spans="1:29" x14ac:dyDescent="0.3">
      <c r="A159" t="s">
        <v>1568</v>
      </c>
      <c r="B159" t="s">
        <v>346</v>
      </c>
      <c r="D159" t="s">
        <v>1166</v>
      </c>
      <c r="G159" t="s">
        <v>1569</v>
      </c>
      <c r="H159" t="s">
        <v>1570</v>
      </c>
      <c r="I159" t="s">
        <v>41</v>
      </c>
      <c r="J159">
        <v>1</v>
      </c>
      <c r="K159" t="s">
        <v>42</v>
      </c>
      <c r="L159" t="s">
        <v>111</v>
      </c>
      <c r="M159" t="s">
        <v>44</v>
      </c>
      <c r="O159" t="s">
        <v>45</v>
      </c>
      <c r="Q159" s="154" t="s">
        <v>1571</v>
      </c>
    </row>
    <row r="160" spans="1:29" x14ac:dyDescent="0.3">
      <c r="A160" t="s">
        <v>1572</v>
      </c>
      <c r="B160" t="s">
        <v>346</v>
      </c>
      <c r="D160" t="s">
        <v>1166</v>
      </c>
      <c r="G160" t="s">
        <v>1573</v>
      </c>
      <c r="I160" t="s">
        <v>41</v>
      </c>
      <c r="J160">
        <v>4</v>
      </c>
      <c r="K160" t="s">
        <v>86</v>
      </c>
      <c r="L160" t="s">
        <v>43</v>
      </c>
      <c r="M160" t="s">
        <v>44</v>
      </c>
      <c r="O160" t="s">
        <v>45</v>
      </c>
      <c r="Q160" s="154" t="s">
        <v>1574</v>
      </c>
      <c r="R160" s="151">
        <v>1</v>
      </c>
      <c r="X160" s="151">
        <v>0.05</v>
      </c>
      <c r="AB160" t="s">
        <v>77</v>
      </c>
      <c r="AC160" t="s">
        <v>1575</v>
      </c>
    </row>
    <row r="161" spans="1:29" x14ac:dyDescent="0.3">
      <c r="A161" t="s">
        <v>1576</v>
      </c>
      <c r="B161" t="s">
        <v>346</v>
      </c>
      <c r="D161" t="s">
        <v>1166</v>
      </c>
      <c r="G161" s="102" t="s">
        <v>1577</v>
      </c>
      <c r="H161" s="102" t="s">
        <v>1578</v>
      </c>
      <c r="I161" s="102" t="s">
        <v>41</v>
      </c>
      <c r="J161" s="102">
        <v>0</v>
      </c>
      <c r="K161" s="102" t="s">
        <v>42</v>
      </c>
      <c r="L161" s="102" t="s">
        <v>43</v>
      </c>
      <c r="M161" s="102" t="s">
        <v>43</v>
      </c>
      <c r="N161" s="102"/>
      <c r="O161" s="102" t="s">
        <v>119</v>
      </c>
      <c r="Q161" s="102" t="s">
        <v>1579</v>
      </c>
      <c r="R161" s="151">
        <v>0.5</v>
      </c>
      <c r="X161" s="151">
        <v>0.4</v>
      </c>
      <c r="AB161" t="s">
        <v>1331</v>
      </c>
    </row>
    <row r="162" spans="1:29" x14ac:dyDescent="0.3">
      <c r="A162" t="s">
        <v>1580</v>
      </c>
      <c r="B162" t="s">
        <v>346</v>
      </c>
      <c r="D162" t="s">
        <v>1166</v>
      </c>
      <c r="G162" t="s">
        <v>1581</v>
      </c>
      <c r="I162" t="s">
        <v>41</v>
      </c>
      <c r="J162">
        <v>2</v>
      </c>
      <c r="K162" t="s">
        <v>86</v>
      </c>
      <c r="L162" t="s">
        <v>43</v>
      </c>
      <c r="M162" t="s">
        <v>44</v>
      </c>
      <c r="N162" t="s">
        <v>418</v>
      </c>
      <c r="O162" t="s">
        <v>45</v>
      </c>
      <c r="Q162" s="154" t="s">
        <v>1582</v>
      </c>
      <c r="R162" s="151">
        <v>0.75</v>
      </c>
      <c r="X162" s="151">
        <v>0.25</v>
      </c>
      <c r="AB162" t="s">
        <v>77</v>
      </c>
      <c r="AC162" t="s">
        <v>1575</v>
      </c>
    </row>
    <row r="163" spans="1:29" x14ac:dyDescent="0.3">
      <c r="A163" t="s">
        <v>1583</v>
      </c>
      <c r="B163" t="s">
        <v>346</v>
      </c>
      <c r="D163" t="s">
        <v>1166</v>
      </c>
      <c r="G163" t="s">
        <v>1584</v>
      </c>
      <c r="I163" t="s">
        <v>41</v>
      </c>
      <c r="J163">
        <v>0</v>
      </c>
      <c r="K163" t="s">
        <v>86</v>
      </c>
      <c r="L163" t="s">
        <v>43</v>
      </c>
      <c r="M163" t="s">
        <v>44</v>
      </c>
      <c r="N163" t="s">
        <v>1585</v>
      </c>
      <c r="O163" t="s">
        <v>45</v>
      </c>
      <c r="Q163" s="154" t="s">
        <v>1586</v>
      </c>
      <c r="R163" s="151">
        <v>1</v>
      </c>
      <c r="X163" s="151">
        <v>0.6</v>
      </c>
      <c r="AB163" t="s">
        <v>1267</v>
      </c>
    </row>
    <row r="164" spans="1:29" x14ac:dyDescent="0.3">
      <c r="A164" t="s">
        <v>1587</v>
      </c>
      <c r="B164" t="s">
        <v>346</v>
      </c>
      <c r="D164" t="s">
        <v>1166</v>
      </c>
      <c r="G164" t="s">
        <v>1588</v>
      </c>
      <c r="H164" t="s">
        <v>1589</v>
      </c>
      <c r="I164" t="s">
        <v>41</v>
      </c>
      <c r="J164">
        <v>2</v>
      </c>
      <c r="K164" t="s">
        <v>86</v>
      </c>
      <c r="L164" t="s">
        <v>43</v>
      </c>
      <c r="M164" t="s">
        <v>44</v>
      </c>
      <c r="O164" t="s">
        <v>45</v>
      </c>
      <c r="Q164" s="154" t="s">
        <v>1590</v>
      </c>
      <c r="R164" s="151">
        <v>0.5</v>
      </c>
      <c r="X164" s="151">
        <v>0.6</v>
      </c>
      <c r="AB164" t="s">
        <v>1267</v>
      </c>
    </row>
    <row r="165" spans="1:29" x14ac:dyDescent="0.3">
      <c r="A165" t="s">
        <v>1591</v>
      </c>
      <c r="B165" t="s">
        <v>346</v>
      </c>
      <c r="D165" t="s">
        <v>1166</v>
      </c>
      <c r="G165" t="s">
        <v>1592</v>
      </c>
      <c r="H165" t="s">
        <v>1589</v>
      </c>
      <c r="I165" t="s">
        <v>41</v>
      </c>
      <c r="J165">
        <v>1</v>
      </c>
      <c r="K165" t="s">
        <v>42</v>
      </c>
      <c r="L165" t="s">
        <v>43</v>
      </c>
      <c r="M165" t="s">
        <v>44</v>
      </c>
      <c r="N165" t="s">
        <v>1593</v>
      </c>
      <c r="O165" t="s">
        <v>45</v>
      </c>
      <c r="Q165" s="154" t="s">
        <v>1594</v>
      </c>
      <c r="R165" s="151">
        <v>0.6</v>
      </c>
      <c r="X165" s="151">
        <v>0.9</v>
      </c>
      <c r="AB165" t="s">
        <v>1267</v>
      </c>
    </row>
    <row r="166" spans="1:29" x14ac:dyDescent="0.3">
      <c r="A166" t="s">
        <v>1595</v>
      </c>
      <c r="B166" t="s">
        <v>346</v>
      </c>
      <c r="D166" t="s">
        <v>1166</v>
      </c>
      <c r="G166" t="s">
        <v>1596</v>
      </c>
      <c r="I166" t="s">
        <v>41</v>
      </c>
      <c r="J166">
        <v>0</v>
      </c>
      <c r="K166" t="s">
        <v>53</v>
      </c>
      <c r="L166" t="s">
        <v>43</v>
      </c>
      <c r="M166" t="s">
        <v>43</v>
      </c>
      <c r="O166" t="s">
        <v>106</v>
      </c>
      <c r="Q166" s="154" t="s">
        <v>1597</v>
      </c>
      <c r="R166" s="151">
        <v>0.75</v>
      </c>
      <c r="X166" s="151">
        <v>0.1</v>
      </c>
      <c r="AB166" t="s">
        <v>77</v>
      </c>
    </row>
    <row r="167" spans="1:29" x14ac:dyDescent="0.3">
      <c r="A167" t="s">
        <v>1598</v>
      </c>
      <c r="B167" t="s">
        <v>346</v>
      </c>
      <c r="D167" t="s">
        <v>1166</v>
      </c>
      <c r="G167" t="s">
        <v>1599</v>
      </c>
      <c r="H167" t="s">
        <v>1589</v>
      </c>
      <c r="I167" t="s">
        <v>41</v>
      </c>
      <c r="J167">
        <v>1</v>
      </c>
      <c r="K167" t="s">
        <v>86</v>
      </c>
      <c r="L167" t="s">
        <v>43</v>
      </c>
      <c r="M167" t="s">
        <v>44</v>
      </c>
      <c r="O167" t="s">
        <v>45</v>
      </c>
      <c r="Q167" s="154" t="s">
        <v>1600</v>
      </c>
      <c r="R167" s="151">
        <v>1</v>
      </c>
      <c r="X167" s="151">
        <v>0.1</v>
      </c>
      <c r="AB167" t="s">
        <v>1267</v>
      </c>
    </row>
    <row r="168" spans="1:29" x14ac:dyDescent="0.3">
      <c r="A168" t="s">
        <v>1601</v>
      </c>
      <c r="B168" t="s">
        <v>346</v>
      </c>
      <c r="D168" t="s">
        <v>1166</v>
      </c>
      <c r="G168" t="s">
        <v>1602</v>
      </c>
      <c r="I168" t="s">
        <v>41</v>
      </c>
      <c r="J168">
        <v>2</v>
      </c>
      <c r="K168" t="s">
        <v>86</v>
      </c>
      <c r="L168" t="s">
        <v>44</v>
      </c>
      <c r="M168" t="s">
        <v>44</v>
      </c>
      <c r="O168" t="s">
        <v>119</v>
      </c>
      <c r="Q168" t="s">
        <v>1603</v>
      </c>
      <c r="R168" s="151">
        <v>1</v>
      </c>
      <c r="X168" s="151">
        <v>0.02</v>
      </c>
      <c r="AB168" t="s">
        <v>1604</v>
      </c>
      <c r="AC168" t="s">
        <v>77</v>
      </c>
    </row>
    <row r="169" spans="1:29" x14ac:dyDescent="0.3">
      <c r="A169" t="s">
        <v>1605</v>
      </c>
      <c r="B169" t="s">
        <v>346</v>
      </c>
      <c r="D169" t="s">
        <v>1166</v>
      </c>
      <c r="G169" t="s">
        <v>1606</v>
      </c>
      <c r="I169" t="s">
        <v>41</v>
      </c>
      <c r="J169">
        <v>4</v>
      </c>
      <c r="K169" t="s">
        <v>53</v>
      </c>
      <c r="L169" t="s">
        <v>44</v>
      </c>
      <c r="M169" t="s">
        <v>44</v>
      </c>
      <c r="O169" t="s">
        <v>45</v>
      </c>
      <c r="Q169" s="154" t="s">
        <v>1607</v>
      </c>
      <c r="R169" s="151">
        <v>0.75</v>
      </c>
      <c r="X169" s="151">
        <v>0.02</v>
      </c>
      <c r="AB169" t="s">
        <v>77</v>
      </c>
      <c r="AC169" t="s">
        <v>484</v>
      </c>
    </row>
    <row r="170" spans="1:29" x14ac:dyDescent="0.3">
      <c r="A170" t="s">
        <v>1608</v>
      </c>
      <c r="B170" t="s">
        <v>346</v>
      </c>
      <c r="D170" t="s">
        <v>1166</v>
      </c>
      <c r="G170" t="s">
        <v>1609</v>
      </c>
      <c r="H170" t="s">
        <v>1610</v>
      </c>
      <c r="I170" t="s">
        <v>41</v>
      </c>
      <c r="J170">
        <v>0</v>
      </c>
      <c r="O170" t="s">
        <v>157</v>
      </c>
    </row>
    <row r="171" spans="1:29" x14ac:dyDescent="0.3">
      <c r="A171" t="s">
        <v>1611</v>
      </c>
      <c r="B171" t="s">
        <v>346</v>
      </c>
      <c r="D171" t="s">
        <v>1166</v>
      </c>
      <c r="G171" t="s">
        <v>1612</v>
      </c>
      <c r="I171" t="s">
        <v>41</v>
      </c>
      <c r="J171">
        <v>0</v>
      </c>
      <c r="K171" t="s">
        <v>53</v>
      </c>
      <c r="L171" t="s">
        <v>43</v>
      </c>
      <c r="M171" t="s">
        <v>44</v>
      </c>
      <c r="O171" t="s">
        <v>45</v>
      </c>
      <c r="Q171" s="154" t="s">
        <v>1613</v>
      </c>
      <c r="R171" s="151">
        <v>1</v>
      </c>
      <c r="X171" s="151">
        <v>0.3</v>
      </c>
    </row>
    <row r="172" spans="1:29" x14ac:dyDescent="0.3">
      <c r="A172" t="s">
        <v>1614</v>
      </c>
      <c r="B172" t="s">
        <v>346</v>
      </c>
      <c r="D172" t="s">
        <v>1166</v>
      </c>
      <c r="G172" t="s">
        <v>1615</v>
      </c>
      <c r="H172" t="s">
        <v>1616</v>
      </c>
      <c r="I172" t="s">
        <v>41</v>
      </c>
      <c r="O172" t="s">
        <v>157</v>
      </c>
    </row>
    <row r="173" spans="1:29" x14ac:dyDescent="0.3">
      <c r="A173" t="s">
        <v>1617</v>
      </c>
      <c r="B173" t="s">
        <v>346</v>
      </c>
      <c r="D173" t="s">
        <v>1166</v>
      </c>
      <c r="G173" t="s">
        <v>1618</v>
      </c>
      <c r="H173" t="s">
        <v>1619</v>
      </c>
      <c r="I173" t="s">
        <v>41</v>
      </c>
      <c r="O173" t="s">
        <v>157</v>
      </c>
    </row>
    <row r="174" spans="1:29" x14ac:dyDescent="0.3">
      <c r="A174" t="s">
        <v>1620</v>
      </c>
      <c r="B174" t="s">
        <v>346</v>
      </c>
      <c r="D174" t="s">
        <v>1166</v>
      </c>
      <c r="G174" t="s">
        <v>1621</v>
      </c>
      <c r="H174" t="s">
        <v>1622</v>
      </c>
      <c r="I174" t="s">
        <v>41</v>
      </c>
      <c r="K174" t="s">
        <v>42</v>
      </c>
      <c r="L174" t="s">
        <v>43</v>
      </c>
      <c r="M174" t="s">
        <v>43</v>
      </c>
      <c r="O174" t="s">
        <v>119</v>
      </c>
    </row>
    <row r="175" spans="1:29" x14ac:dyDescent="0.3">
      <c r="A175" t="s">
        <v>1623</v>
      </c>
      <c r="B175" t="s">
        <v>346</v>
      </c>
      <c r="D175" t="s">
        <v>1166</v>
      </c>
      <c r="G175" t="s">
        <v>1624</v>
      </c>
      <c r="I175" t="s">
        <v>41</v>
      </c>
      <c r="K175" t="s">
        <v>53</v>
      </c>
      <c r="L175" t="s">
        <v>44</v>
      </c>
      <c r="M175" t="s">
        <v>44</v>
      </c>
      <c r="O175" t="s">
        <v>45</v>
      </c>
      <c r="Q175" s="154" t="s">
        <v>1625</v>
      </c>
      <c r="R175" s="151">
        <v>0.95</v>
      </c>
      <c r="X175" s="155">
        <v>5.0000000000000001E-3</v>
      </c>
      <c r="AB175" t="s">
        <v>1626</v>
      </c>
    </row>
    <row r="176" spans="1:29" x14ac:dyDescent="0.3">
      <c r="A176" t="s">
        <v>1627</v>
      </c>
      <c r="B176" t="s">
        <v>346</v>
      </c>
      <c r="D176" t="s">
        <v>1166</v>
      </c>
      <c r="G176" t="s">
        <v>1628</v>
      </c>
      <c r="I176" t="s">
        <v>41</v>
      </c>
      <c r="K176" t="s">
        <v>53</v>
      </c>
      <c r="L176" t="s">
        <v>44</v>
      </c>
      <c r="M176" t="s">
        <v>44</v>
      </c>
      <c r="O176" t="s">
        <v>106</v>
      </c>
    </row>
    <row r="177" spans="1:29" ht="14.4" customHeight="1" x14ac:dyDescent="0.3">
      <c r="B177" t="s">
        <v>346</v>
      </c>
      <c r="G177" t="s">
        <v>1629</v>
      </c>
      <c r="H177" t="s">
        <v>1630</v>
      </c>
      <c r="I177" t="s">
        <v>52</v>
      </c>
      <c r="K177" t="s">
        <v>53</v>
      </c>
      <c r="L177" t="s">
        <v>44</v>
      </c>
      <c r="M177" t="s">
        <v>44</v>
      </c>
      <c r="O177" t="s">
        <v>106</v>
      </c>
      <c r="Q177" s="154" t="s">
        <v>1631</v>
      </c>
      <c r="X177" s="151">
        <v>0.01</v>
      </c>
      <c r="AB177" t="s">
        <v>1632</v>
      </c>
    </row>
    <row r="178" spans="1:29" x14ac:dyDescent="0.3">
      <c r="B178" t="s">
        <v>346</v>
      </c>
      <c r="G178" t="s">
        <v>1633</v>
      </c>
      <c r="I178" t="s">
        <v>52</v>
      </c>
      <c r="K178" t="s">
        <v>86</v>
      </c>
      <c r="L178" t="s">
        <v>43</v>
      </c>
      <c r="M178" t="s">
        <v>44</v>
      </c>
      <c r="O178" t="s">
        <v>45</v>
      </c>
      <c r="Q178" s="154" t="s">
        <v>1634</v>
      </c>
      <c r="R178" s="151">
        <v>1</v>
      </c>
      <c r="X178" s="155">
        <v>2.5000000000000001E-2</v>
      </c>
      <c r="AB178" t="s">
        <v>77</v>
      </c>
      <c r="AC178" t="s">
        <v>1635</v>
      </c>
    </row>
    <row r="179" spans="1:29" ht="12.75" customHeight="1" x14ac:dyDescent="0.3">
      <c r="B179" t="s">
        <v>346</v>
      </c>
      <c r="D179" t="s">
        <v>1166</v>
      </c>
      <c r="G179" t="s">
        <v>1636</v>
      </c>
      <c r="I179" t="s">
        <v>52</v>
      </c>
      <c r="K179" t="s">
        <v>53</v>
      </c>
      <c r="L179" t="s">
        <v>44</v>
      </c>
      <c r="M179" t="s">
        <v>43</v>
      </c>
      <c r="O179" t="s">
        <v>106</v>
      </c>
      <c r="Q179" s="154" t="s">
        <v>1637</v>
      </c>
      <c r="R179" s="151">
        <v>0.3</v>
      </c>
      <c r="X179" s="151">
        <v>0.1</v>
      </c>
      <c r="AB179" t="s">
        <v>77</v>
      </c>
    </row>
    <row r="180" spans="1:29" x14ac:dyDescent="0.3">
      <c r="B180" t="s">
        <v>346</v>
      </c>
      <c r="G180" t="s">
        <v>1638</v>
      </c>
      <c r="I180" t="s">
        <v>41</v>
      </c>
      <c r="K180" t="s">
        <v>53</v>
      </c>
      <c r="L180" t="s">
        <v>44</v>
      </c>
      <c r="M180" t="s">
        <v>44</v>
      </c>
      <c r="O180" t="s">
        <v>106</v>
      </c>
      <c r="Q180" s="154" t="s">
        <v>1639</v>
      </c>
    </row>
    <row r="181" spans="1:29" x14ac:dyDescent="0.3">
      <c r="A181" t="s">
        <v>1640</v>
      </c>
      <c r="B181" t="s">
        <v>142</v>
      </c>
      <c r="D181" t="s">
        <v>1166</v>
      </c>
      <c r="G181" t="s">
        <v>1641</v>
      </c>
      <c r="I181" t="s">
        <v>41</v>
      </c>
      <c r="J181">
        <v>1</v>
      </c>
      <c r="K181" t="s">
        <v>86</v>
      </c>
      <c r="L181" t="s">
        <v>43</v>
      </c>
      <c r="M181" t="s">
        <v>43</v>
      </c>
      <c r="N181" t="s">
        <v>201</v>
      </c>
      <c r="O181" t="s">
        <v>106</v>
      </c>
      <c r="Q181" s="154" t="s">
        <v>1642</v>
      </c>
      <c r="AB181" t="s">
        <v>1267</v>
      </c>
    </row>
    <row r="182" spans="1:29" x14ac:dyDescent="0.3">
      <c r="A182" t="s">
        <v>1643</v>
      </c>
      <c r="B182" t="s">
        <v>142</v>
      </c>
      <c r="D182" t="s">
        <v>1166</v>
      </c>
      <c r="G182" t="s">
        <v>1644</v>
      </c>
      <c r="I182" t="s">
        <v>41</v>
      </c>
      <c r="J182">
        <v>0</v>
      </c>
      <c r="K182" t="s">
        <v>53</v>
      </c>
      <c r="L182" t="s">
        <v>44</v>
      </c>
      <c r="M182" t="s">
        <v>44</v>
      </c>
      <c r="N182" t="s">
        <v>418</v>
      </c>
      <c r="O182" t="s">
        <v>45</v>
      </c>
      <c r="Q182" s="154" t="s">
        <v>1645</v>
      </c>
      <c r="R182" s="151">
        <v>0.75</v>
      </c>
      <c r="X182" s="151">
        <v>1</v>
      </c>
    </row>
    <row r="183" spans="1:29" x14ac:dyDescent="0.3">
      <c r="A183" t="s">
        <v>1646</v>
      </c>
      <c r="B183" t="s">
        <v>142</v>
      </c>
      <c r="D183" t="s">
        <v>1166</v>
      </c>
      <c r="G183" t="s">
        <v>1647</v>
      </c>
      <c r="I183" t="s">
        <v>41</v>
      </c>
      <c r="J183">
        <v>1</v>
      </c>
      <c r="K183" t="s">
        <v>86</v>
      </c>
      <c r="L183" t="s">
        <v>43</v>
      </c>
      <c r="M183" t="s">
        <v>43</v>
      </c>
      <c r="N183" t="s">
        <v>191</v>
      </c>
      <c r="O183" t="s">
        <v>45</v>
      </c>
      <c r="Q183" s="154" t="s">
        <v>1648</v>
      </c>
      <c r="R183" s="151">
        <v>0.1</v>
      </c>
      <c r="X183" s="151">
        <v>0.5</v>
      </c>
      <c r="AB183" t="s">
        <v>1084</v>
      </c>
      <c r="AC183" t="s">
        <v>77</v>
      </c>
    </row>
    <row r="184" spans="1:29" x14ac:dyDescent="0.3">
      <c r="A184" t="s">
        <v>1649</v>
      </c>
      <c r="B184" t="s">
        <v>142</v>
      </c>
      <c r="D184" t="s">
        <v>1166</v>
      </c>
      <c r="G184" s="102" t="s">
        <v>1650</v>
      </c>
      <c r="H184" s="102"/>
      <c r="I184" s="102" t="s">
        <v>41</v>
      </c>
      <c r="J184" s="102">
        <v>1</v>
      </c>
      <c r="K184" s="102"/>
      <c r="L184" s="102"/>
      <c r="M184" s="102"/>
      <c r="N184" s="102" t="s">
        <v>191</v>
      </c>
      <c r="O184" s="102"/>
      <c r="P184" s="102"/>
      <c r="AB184" t="s">
        <v>1084</v>
      </c>
    </row>
    <row r="185" spans="1:29" x14ac:dyDescent="0.3">
      <c r="A185" t="s">
        <v>1651</v>
      </c>
      <c r="B185" t="s">
        <v>142</v>
      </c>
      <c r="D185" t="s">
        <v>1166</v>
      </c>
      <c r="G185" t="s">
        <v>1652</v>
      </c>
      <c r="I185" t="s">
        <v>41</v>
      </c>
      <c r="J185">
        <v>0</v>
      </c>
      <c r="K185" t="s">
        <v>53</v>
      </c>
      <c r="L185" t="s">
        <v>43</v>
      </c>
      <c r="M185" t="s">
        <v>44</v>
      </c>
      <c r="N185" t="s">
        <v>1653</v>
      </c>
      <c r="O185" t="s">
        <v>45</v>
      </c>
      <c r="Q185" s="154" t="s">
        <v>1654</v>
      </c>
      <c r="R185" s="151">
        <f>100%-R182</f>
        <v>0.25</v>
      </c>
      <c r="X185" s="151">
        <v>1</v>
      </c>
      <c r="AB185" t="s">
        <v>1084</v>
      </c>
    </row>
    <row r="186" spans="1:29" x14ac:dyDescent="0.3">
      <c r="A186" t="s">
        <v>1655</v>
      </c>
      <c r="B186" t="s">
        <v>142</v>
      </c>
      <c r="D186" t="s">
        <v>1166</v>
      </c>
      <c r="G186" t="s">
        <v>1656</v>
      </c>
      <c r="H186" t="s">
        <v>1211</v>
      </c>
      <c r="I186" t="s">
        <v>41</v>
      </c>
      <c r="J186">
        <v>1</v>
      </c>
      <c r="O186" t="s">
        <v>157</v>
      </c>
    </row>
    <row r="187" spans="1:29" x14ac:dyDescent="0.3">
      <c r="A187" t="s">
        <v>1657</v>
      </c>
      <c r="B187" t="s">
        <v>142</v>
      </c>
      <c r="D187" t="s">
        <v>1166</v>
      </c>
      <c r="G187" s="102" t="s">
        <v>1658</v>
      </c>
      <c r="H187" s="102"/>
      <c r="I187" s="102" t="s">
        <v>41</v>
      </c>
      <c r="J187" s="102">
        <v>0</v>
      </c>
      <c r="K187" s="102"/>
      <c r="L187" s="102"/>
      <c r="M187" s="102"/>
      <c r="N187" s="102" t="s">
        <v>1659</v>
      </c>
      <c r="O187" s="102"/>
      <c r="AB187" t="s">
        <v>1084</v>
      </c>
    </row>
    <row r="188" spans="1:29" x14ac:dyDescent="0.3">
      <c r="A188" t="s">
        <v>1660</v>
      </c>
      <c r="B188" t="s">
        <v>142</v>
      </c>
      <c r="D188" t="s">
        <v>1166</v>
      </c>
      <c r="G188" t="s">
        <v>1661</v>
      </c>
      <c r="H188" t="s">
        <v>1662</v>
      </c>
      <c r="I188" t="s">
        <v>41</v>
      </c>
      <c r="J188">
        <v>1</v>
      </c>
      <c r="N188" t="s">
        <v>151</v>
      </c>
      <c r="O188" t="s">
        <v>157</v>
      </c>
    </row>
    <row r="189" spans="1:29" x14ac:dyDescent="0.3">
      <c r="A189" t="s">
        <v>1663</v>
      </c>
      <c r="B189" t="s">
        <v>142</v>
      </c>
      <c r="D189" t="s">
        <v>1166</v>
      </c>
      <c r="G189" t="s">
        <v>1664</v>
      </c>
      <c r="H189" t="s">
        <v>1665</v>
      </c>
      <c r="I189" t="s">
        <v>41</v>
      </c>
      <c r="J189">
        <v>1</v>
      </c>
      <c r="K189" t="s">
        <v>53</v>
      </c>
      <c r="L189" t="s">
        <v>44</v>
      </c>
      <c r="M189" t="s">
        <v>44</v>
      </c>
      <c r="O189" t="s">
        <v>45</v>
      </c>
      <c r="Q189" s="154" t="s">
        <v>1666</v>
      </c>
      <c r="R189" s="151">
        <v>0.75</v>
      </c>
      <c r="X189" s="151">
        <v>0.01</v>
      </c>
      <c r="AB189" t="s">
        <v>77</v>
      </c>
      <c r="AC189" t="s">
        <v>484</v>
      </c>
    </row>
    <row r="190" spans="1:29" x14ac:dyDescent="0.3">
      <c r="A190" t="s">
        <v>1667</v>
      </c>
      <c r="B190" t="s">
        <v>142</v>
      </c>
      <c r="D190" t="s">
        <v>1166</v>
      </c>
      <c r="G190" s="102" t="s">
        <v>1668</v>
      </c>
      <c r="H190" s="102"/>
      <c r="I190" s="102" t="s">
        <v>41</v>
      </c>
      <c r="J190" s="102">
        <v>3</v>
      </c>
      <c r="K190" s="102"/>
      <c r="L190" s="102"/>
      <c r="M190" s="102"/>
      <c r="N190" s="102"/>
      <c r="O190" s="102"/>
      <c r="AB190" t="s">
        <v>1084</v>
      </c>
    </row>
    <row r="191" spans="1:29" x14ac:dyDescent="0.3">
      <c r="A191" t="s">
        <v>1669</v>
      </c>
      <c r="B191" t="s">
        <v>142</v>
      </c>
      <c r="D191" t="s">
        <v>1166</v>
      </c>
      <c r="G191" s="102" t="s">
        <v>1670</v>
      </c>
      <c r="H191" s="102"/>
      <c r="I191" s="102" t="s">
        <v>41</v>
      </c>
      <c r="J191" s="102">
        <v>2</v>
      </c>
      <c r="K191" s="102"/>
      <c r="L191" s="102"/>
      <c r="M191" s="102"/>
      <c r="N191" s="102" t="s">
        <v>151</v>
      </c>
      <c r="O191" s="102"/>
      <c r="AB191" t="s">
        <v>1084</v>
      </c>
    </row>
    <row r="192" spans="1:29" x14ac:dyDescent="0.3">
      <c r="A192" t="s">
        <v>1671</v>
      </c>
      <c r="B192" t="s">
        <v>142</v>
      </c>
      <c r="D192" t="s">
        <v>1166</v>
      </c>
      <c r="G192" t="s">
        <v>1672</v>
      </c>
      <c r="I192" t="s">
        <v>41</v>
      </c>
      <c r="J192">
        <v>2</v>
      </c>
      <c r="K192" t="s">
        <v>53</v>
      </c>
      <c r="L192" t="s">
        <v>44</v>
      </c>
      <c r="M192" t="s">
        <v>44</v>
      </c>
      <c r="N192" t="s">
        <v>169</v>
      </c>
      <c r="O192" t="s">
        <v>45</v>
      </c>
      <c r="Q192" s="154" t="s">
        <v>1673</v>
      </c>
      <c r="AB192" t="s">
        <v>77</v>
      </c>
      <c r="AC192" t="s">
        <v>484</v>
      </c>
    </row>
    <row r="193" spans="1:29" x14ac:dyDescent="0.3">
      <c r="A193" t="s">
        <v>1674</v>
      </c>
      <c r="B193" t="s">
        <v>142</v>
      </c>
      <c r="D193" t="s">
        <v>1166</v>
      </c>
      <c r="G193" t="s">
        <v>1675</v>
      </c>
      <c r="H193" t="s">
        <v>1676</v>
      </c>
      <c r="I193" t="s">
        <v>140</v>
      </c>
      <c r="K193" t="s">
        <v>42</v>
      </c>
      <c r="L193" t="s">
        <v>44</v>
      </c>
      <c r="M193" t="s">
        <v>44</v>
      </c>
      <c r="O193" t="s">
        <v>45</v>
      </c>
      <c r="Q193" s="154" t="s">
        <v>1677</v>
      </c>
      <c r="R193" s="151">
        <v>1</v>
      </c>
      <c r="X193" s="151">
        <v>0.1</v>
      </c>
      <c r="AB193" t="s">
        <v>1678</v>
      </c>
    </row>
    <row r="194" spans="1:29" x14ac:dyDescent="0.3">
      <c r="A194" t="s">
        <v>1679</v>
      </c>
      <c r="B194" t="s">
        <v>142</v>
      </c>
      <c r="D194" t="s">
        <v>1166</v>
      </c>
      <c r="G194" t="s">
        <v>1680</v>
      </c>
      <c r="H194" t="s">
        <v>1681</v>
      </c>
      <c r="I194" t="s">
        <v>140</v>
      </c>
      <c r="K194" t="s">
        <v>53</v>
      </c>
      <c r="L194" t="s">
        <v>43</v>
      </c>
      <c r="M194" t="s">
        <v>44</v>
      </c>
      <c r="O194" t="s">
        <v>45</v>
      </c>
      <c r="Q194" s="154" t="s">
        <v>1682</v>
      </c>
      <c r="R194" s="151">
        <v>1</v>
      </c>
      <c r="X194" s="151">
        <v>0.05</v>
      </c>
      <c r="AB194" t="s">
        <v>1267</v>
      </c>
    </row>
    <row r="195" spans="1:29" ht="14.1" customHeight="1" x14ac:dyDescent="0.3">
      <c r="B195" t="s">
        <v>142</v>
      </c>
      <c r="G195" t="s">
        <v>1683</v>
      </c>
      <c r="I195" t="s">
        <v>52</v>
      </c>
      <c r="K195" t="s">
        <v>53</v>
      </c>
      <c r="L195" t="s">
        <v>44</v>
      </c>
      <c r="M195" t="s">
        <v>44</v>
      </c>
      <c r="O195" t="s">
        <v>45</v>
      </c>
      <c r="Q195" s="154" t="s">
        <v>1684</v>
      </c>
      <c r="R195" s="151">
        <v>1</v>
      </c>
      <c r="X195" s="151">
        <v>0.1</v>
      </c>
      <c r="AB195" t="s">
        <v>163</v>
      </c>
      <c r="AC195" t="s">
        <v>1084</v>
      </c>
    </row>
    <row r="196" spans="1:29" x14ac:dyDescent="0.3">
      <c r="A196" t="s">
        <v>1685</v>
      </c>
      <c r="B196" t="s">
        <v>34</v>
      </c>
      <c r="D196" t="s">
        <v>1166</v>
      </c>
      <c r="G196" t="s">
        <v>1686</v>
      </c>
      <c r="I196" t="s">
        <v>41</v>
      </c>
      <c r="J196">
        <v>1</v>
      </c>
      <c r="K196" t="s">
        <v>42</v>
      </c>
      <c r="L196" t="s">
        <v>111</v>
      </c>
      <c r="M196" t="s">
        <v>43</v>
      </c>
      <c r="O196" t="s">
        <v>119</v>
      </c>
    </row>
    <row r="197" spans="1:29" x14ac:dyDescent="0.3">
      <c r="A197" t="s">
        <v>1687</v>
      </c>
      <c r="B197" t="s">
        <v>34</v>
      </c>
      <c r="D197" t="s">
        <v>1166</v>
      </c>
      <c r="G197" t="s">
        <v>1688</v>
      </c>
      <c r="I197" t="s">
        <v>41</v>
      </c>
      <c r="J197">
        <v>1</v>
      </c>
      <c r="K197" t="s">
        <v>53</v>
      </c>
      <c r="L197" t="s">
        <v>44</v>
      </c>
      <c r="M197" t="s">
        <v>44</v>
      </c>
      <c r="O197" t="s">
        <v>45</v>
      </c>
      <c r="Q197" s="154" t="s">
        <v>1689</v>
      </c>
      <c r="R197" s="151">
        <v>0.75</v>
      </c>
      <c r="X197" s="151">
        <v>0.01</v>
      </c>
      <c r="AB197" t="s">
        <v>77</v>
      </c>
      <c r="AC197" t="s">
        <v>484</v>
      </c>
    </row>
    <row r="198" spans="1:29" x14ac:dyDescent="0.3">
      <c r="A198" t="s">
        <v>1690</v>
      </c>
      <c r="B198" t="s">
        <v>34</v>
      </c>
      <c r="D198" t="s">
        <v>1166</v>
      </c>
      <c r="G198" t="s">
        <v>1691</v>
      </c>
      <c r="H198" t="s">
        <v>1692</v>
      </c>
      <c r="I198" t="s">
        <v>41</v>
      </c>
      <c r="J198">
        <v>1</v>
      </c>
      <c r="K198" t="s">
        <v>53</v>
      </c>
      <c r="L198" t="s">
        <v>44</v>
      </c>
      <c r="M198" t="s">
        <v>44</v>
      </c>
      <c r="O198" t="s">
        <v>119</v>
      </c>
    </row>
    <row r="199" spans="1:29" x14ac:dyDescent="0.3">
      <c r="A199" t="s">
        <v>1693</v>
      </c>
      <c r="B199" t="s">
        <v>34</v>
      </c>
      <c r="D199" t="s">
        <v>1166</v>
      </c>
      <c r="G199" s="102" t="s">
        <v>1694</v>
      </c>
      <c r="H199" s="102"/>
      <c r="I199" s="102" t="s">
        <v>41</v>
      </c>
      <c r="J199" s="102">
        <v>0</v>
      </c>
      <c r="K199" s="102"/>
      <c r="L199" s="102"/>
      <c r="M199" s="102"/>
      <c r="N199" s="102" t="s">
        <v>1659</v>
      </c>
      <c r="O199" s="102"/>
      <c r="AB199" t="s">
        <v>1084</v>
      </c>
    </row>
    <row r="200" spans="1:29" x14ac:dyDescent="0.3">
      <c r="A200" t="s">
        <v>1695</v>
      </c>
      <c r="B200" t="s">
        <v>34</v>
      </c>
      <c r="D200" t="s">
        <v>1166</v>
      </c>
      <c r="G200" t="s">
        <v>1696</v>
      </c>
      <c r="I200" t="s">
        <v>41</v>
      </c>
      <c r="J200">
        <v>0</v>
      </c>
      <c r="K200" t="s">
        <v>42</v>
      </c>
      <c r="L200" t="s">
        <v>44</v>
      </c>
      <c r="M200" t="s">
        <v>43</v>
      </c>
      <c r="O200" t="s">
        <v>119</v>
      </c>
      <c r="AB200" t="s">
        <v>1084</v>
      </c>
      <c r="AC200" t="s">
        <v>77</v>
      </c>
    </row>
    <row r="201" spans="1:29" x14ac:dyDescent="0.3">
      <c r="A201" t="s">
        <v>1697</v>
      </c>
      <c r="B201" t="s">
        <v>34</v>
      </c>
      <c r="D201" t="s">
        <v>1166</v>
      </c>
      <c r="G201" t="s">
        <v>1698</v>
      </c>
      <c r="H201" t="s">
        <v>1699</v>
      </c>
      <c r="I201" t="s">
        <v>41</v>
      </c>
      <c r="J201">
        <v>0</v>
      </c>
      <c r="K201" t="s">
        <v>86</v>
      </c>
      <c r="L201" t="s">
        <v>44</v>
      </c>
      <c r="M201" t="s">
        <v>44</v>
      </c>
      <c r="O201" t="s">
        <v>45</v>
      </c>
      <c r="Q201" s="154" t="s">
        <v>1700</v>
      </c>
      <c r="R201" s="151">
        <v>1</v>
      </c>
      <c r="X201" s="151">
        <v>0.01</v>
      </c>
      <c r="AB201" t="s">
        <v>77</v>
      </c>
      <c r="AC201" t="s">
        <v>484</v>
      </c>
    </row>
    <row r="202" spans="1:29" x14ac:dyDescent="0.3">
      <c r="A202" t="s">
        <v>1701</v>
      </c>
      <c r="B202" t="s">
        <v>34</v>
      </c>
      <c r="D202" t="s">
        <v>1166</v>
      </c>
      <c r="G202" t="s">
        <v>1702</v>
      </c>
      <c r="I202" t="s">
        <v>41</v>
      </c>
      <c r="J202">
        <v>2</v>
      </c>
      <c r="K202" t="s">
        <v>53</v>
      </c>
      <c r="L202" t="s">
        <v>44</v>
      </c>
      <c r="M202" t="s">
        <v>44</v>
      </c>
      <c r="O202" t="s">
        <v>45</v>
      </c>
      <c r="Q202" s="154" t="s">
        <v>1703</v>
      </c>
      <c r="AB202" t="s">
        <v>1267</v>
      </c>
    </row>
    <row r="203" spans="1:29" x14ac:dyDescent="0.3">
      <c r="A203" t="s">
        <v>1704</v>
      </c>
      <c r="B203" t="s">
        <v>34</v>
      </c>
      <c r="D203" t="s">
        <v>1166</v>
      </c>
      <c r="G203" t="s">
        <v>1705</v>
      </c>
      <c r="I203" t="s">
        <v>41</v>
      </c>
      <c r="J203">
        <v>2</v>
      </c>
      <c r="K203" t="s">
        <v>86</v>
      </c>
      <c r="L203" t="s">
        <v>43</v>
      </c>
      <c r="M203" t="s">
        <v>43</v>
      </c>
      <c r="O203" t="s">
        <v>45</v>
      </c>
      <c r="Q203" s="154" t="s">
        <v>1706</v>
      </c>
      <c r="AB203" t="s">
        <v>1707</v>
      </c>
    </row>
    <row r="204" spans="1:29" x14ac:dyDescent="0.3">
      <c r="A204" t="s">
        <v>1708</v>
      </c>
      <c r="B204" t="s">
        <v>34</v>
      </c>
      <c r="D204" t="s">
        <v>1166</v>
      </c>
      <c r="G204" t="s">
        <v>1709</v>
      </c>
      <c r="I204" t="s">
        <v>41</v>
      </c>
      <c r="J204">
        <v>3</v>
      </c>
      <c r="K204" t="s">
        <v>42</v>
      </c>
      <c r="L204" t="s">
        <v>44</v>
      </c>
      <c r="M204" t="s">
        <v>44</v>
      </c>
      <c r="O204" t="s">
        <v>119</v>
      </c>
      <c r="AB204" t="s">
        <v>1710</v>
      </c>
    </row>
    <row r="205" spans="1:29" x14ac:dyDescent="0.3">
      <c r="A205" t="s">
        <v>1711</v>
      </c>
      <c r="B205" t="s">
        <v>34</v>
      </c>
      <c r="D205" t="s">
        <v>1166</v>
      </c>
      <c r="G205" t="s">
        <v>1712</v>
      </c>
      <c r="H205" t="s">
        <v>1713</v>
      </c>
      <c r="I205" t="s">
        <v>41</v>
      </c>
      <c r="J205">
        <v>2</v>
      </c>
      <c r="K205" t="s">
        <v>53</v>
      </c>
      <c r="L205" t="s">
        <v>43</v>
      </c>
      <c r="M205" t="s">
        <v>44</v>
      </c>
      <c r="O205" t="s">
        <v>119</v>
      </c>
      <c r="AB205" t="s">
        <v>77</v>
      </c>
    </row>
    <row r="206" spans="1:29" x14ac:dyDescent="0.3">
      <c r="A206" t="s">
        <v>1714</v>
      </c>
      <c r="B206" t="s">
        <v>34</v>
      </c>
      <c r="D206" t="s">
        <v>1166</v>
      </c>
      <c r="G206" t="s">
        <v>1715</v>
      </c>
      <c r="H206" t="s">
        <v>1716</v>
      </c>
      <c r="I206" t="s">
        <v>41</v>
      </c>
      <c r="K206" t="s">
        <v>53</v>
      </c>
      <c r="L206" t="s">
        <v>44</v>
      </c>
      <c r="M206" t="s">
        <v>43</v>
      </c>
      <c r="O206" t="s">
        <v>45</v>
      </c>
      <c r="Q206" s="154" t="s">
        <v>1717</v>
      </c>
      <c r="R206" s="151">
        <v>0.75</v>
      </c>
      <c r="X206" s="151">
        <v>0.25</v>
      </c>
    </row>
    <row r="207" spans="1:29" ht="14.1" customHeight="1" x14ac:dyDescent="0.3">
      <c r="B207" t="s">
        <v>34</v>
      </c>
      <c r="G207" t="s">
        <v>1718</v>
      </c>
      <c r="H207" t="s">
        <v>1719</v>
      </c>
      <c r="I207" t="s">
        <v>52</v>
      </c>
      <c r="K207" t="s">
        <v>42</v>
      </c>
      <c r="L207" t="s">
        <v>44</v>
      </c>
      <c r="M207" t="s">
        <v>44</v>
      </c>
      <c r="O207" t="s">
        <v>119</v>
      </c>
      <c r="AB207" t="s">
        <v>77</v>
      </c>
      <c r="AC207" t="s">
        <v>1084</v>
      </c>
    </row>
    <row r="208" spans="1:29" x14ac:dyDescent="0.3">
      <c r="A208" t="s">
        <v>1720</v>
      </c>
      <c r="B208" t="s">
        <v>1721</v>
      </c>
      <c r="D208" t="s">
        <v>1166</v>
      </c>
      <c r="G208" t="s">
        <v>1722</v>
      </c>
      <c r="H208" t="s">
        <v>1723</v>
      </c>
      <c r="I208" t="s">
        <v>52</v>
      </c>
      <c r="K208" t="s">
        <v>86</v>
      </c>
      <c r="L208" t="s">
        <v>44</v>
      </c>
      <c r="M208" t="s">
        <v>44</v>
      </c>
      <c r="O208" t="s">
        <v>119</v>
      </c>
      <c r="AB208" t="s">
        <v>71</v>
      </c>
      <c r="AC208" t="s">
        <v>1724</v>
      </c>
    </row>
    <row r="209" spans="1:29" x14ac:dyDescent="0.3">
      <c r="A209" t="s">
        <v>1725</v>
      </c>
      <c r="B209" t="s">
        <v>1721</v>
      </c>
      <c r="D209" t="s">
        <v>1166</v>
      </c>
      <c r="G209" t="s">
        <v>1726</v>
      </c>
      <c r="I209" t="s">
        <v>41</v>
      </c>
      <c r="K209" t="s">
        <v>53</v>
      </c>
      <c r="L209" t="s">
        <v>44</v>
      </c>
      <c r="M209" t="s">
        <v>44</v>
      </c>
      <c r="O209" t="s">
        <v>45</v>
      </c>
      <c r="AB209" t="s">
        <v>1388</v>
      </c>
    </row>
    <row r="210" spans="1:29" x14ac:dyDescent="0.3">
      <c r="A210" t="s">
        <v>1727</v>
      </c>
      <c r="B210" t="s">
        <v>1721</v>
      </c>
      <c r="D210" t="s">
        <v>1166</v>
      </c>
      <c r="G210" t="s">
        <v>1728</v>
      </c>
      <c r="H210" t="s">
        <v>1729</v>
      </c>
      <c r="I210" t="s">
        <v>41</v>
      </c>
      <c r="K210" t="s">
        <v>86</v>
      </c>
      <c r="L210" t="s">
        <v>44</v>
      </c>
      <c r="M210" t="s">
        <v>44</v>
      </c>
      <c r="O210" t="s">
        <v>119</v>
      </c>
    </row>
    <row r="211" spans="1:29" x14ac:dyDescent="0.3">
      <c r="A211" t="s">
        <v>1730</v>
      </c>
      <c r="B211" t="s">
        <v>1721</v>
      </c>
      <c r="D211" t="s">
        <v>1166</v>
      </c>
      <c r="G211" t="s">
        <v>1731</v>
      </c>
      <c r="H211" t="s">
        <v>1732</v>
      </c>
      <c r="I211" t="s">
        <v>41</v>
      </c>
      <c r="K211" t="s">
        <v>53</v>
      </c>
      <c r="L211" t="s">
        <v>44</v>
      </c>
      <c r="M211" t="s">
        <v>44</v>
      </c>
      <c r="O211" t="s">
        <v>45</v>
      </c>
      <c r="AB211" t="s">
        <v>1388</v>
      </c>
    </row>
    <row r="212" spans="1:29" x14ac:dyDescent="0.3">
      <c r="A212" t="s">
        <v>1733</v>
      </c>
      <c r="B212" t="s">
        <v>1721</v>
      </c>
      <c r="D212" t="s">
        <v>1166</v>
      </c>
      <c r="G212" t="s">
        <v>1734</v>
      </c>
      <c r="H212" t="s">
        <v>1735</v>
      </c>
      <c r="I212" t="s">
        <v>41</v>
      </c>
      <c r="K212" t="s">
        <v>86</v>
      </c>
      <c r="L212" t="s">
        <v>44</v>
      </c>
      <c r="M212" t="s">
        <v>111</v>
      </c>
      <c r="O212" t="s">
        <v>106</v>
      </c>
      <c r="AB212" t="s">
        <v>1736</v>
      </c>
    </row>
    <row r="213" spans="1:29" x14ac:dyDescent="0.3">
      <c r="A213" t="s">
        <v>1737</v>
      </c>
      <c r="B213" t="s">
        <v>1721</v>
      </c>
      <c r="D213" t="s">
        <v>1166</v>
      </c>
      <c r="G213" t="s">
        <v>1738</v>
      </c>
      <c r="I213" t="s">
        <v>41</v>
      </c>
      <c r="K213" t="s">
        <v>86</v>
      </c>
      <c r="L213" t="s">
        <v>44</v>
      </c>
      <c r="M213" t="s">
        <v>43</v>
      </c>
      <c r="O213" t="s">
        <v>119</v>
      </c>
      <c r="AB213" t="s">
        <v>77</v>
      </c>
    </row>
    <row r="214" spans="1:29" x14ac:dyDescent="0.3">
      <c r="A214" t="s">
        <v>1739</v>
      </c>
      <c r="B214" t="s">
        <v>1721</v>
      </c>
      <c r="D214" t="s">
        <v>1166</v>
      </c>
      <c r="G214" t="s">
        <v>1740</v>
      </c>
      <c r="I214" t="s">
        <v>41</v>
      </c>
      <c r="K214" t="s">
        <v>86</v>
      </c>
      <c r="L214" t="s">
        <v>44</v>
      </c>
      <c r="M214" t="s">
        <v>111</v>
      </c>
      <c r="O214" t="s">
        <v>119</v>
      </c>
      <c r="AB214" t="s">
        <v>77</v>
      </c>
      <c r="AC214" t="s">
        <v>1741</v>
      </c>
    </row>
    <row r="215" spans="1:29" x14ac:dyDescent="0.3">
      <c r="B215" t="s">
        <v>1721</v>
      </c>
      <c r="G215" s="101" t="s">
        <v>1742</v>
      </c>
    </row>
    <row r="216" spans="1:29" x14ac:dyDescent="0.3">
      <c r="A216" t="s">
        <v>1743</v>
      </c>
      <c r="B216" t="s">
        <v>438</v>
      </c>
      <c r="D216" t="s">
        <v>1166</v>
      </c>
      <c r="G216" t="s">
        <v>1744</v>
      </c>
      <c r="H216" t="s">
        <v>1745</v>
      </c>
      <c r="I216" t="s">
        <v>41</v>
      </c>
      <c r="J216">
        <v>1</v>
      </c>
      <c r="O216" t="s">
        <v>157</v>
      </c>
    </row>
    <row r="217" spans="1:29" x14ac:dyDescent="0.3">
      <c r="A217" t="s">
        <v>1746</v>
      </c>
      <c r="B217" t="s">
        <v>438</v>
      </c>
      <c r="D217" t="s">
        <v>1166</v>
      </c>
      <c r="G217" t="s">
        <v>1747</v>
      </c>
      <c r="I217" t="s">
        <v>41</v>
      </c>
      <c r="J217">
        <v>0</v>
      </c>
      <c r="K217" t="s">
        <v>53</v>
      </c>
      <c r="L217" t="s">
        <v>44</v>
      </c>
      <c r="M217" t="s">
        <v>44</v>
      </c>
      <c r="O217" t="s">
        <v>106</v>
      </c>
      <c r="Q217" s="154" t="s">
        <v>1748</v>
      </c>
    </row>
    <row r="218" spans="1:29" x14ac:dyDescent="0.3">
      <c r="A218" t="s">
        <v>1749</v>
      </c>
      <c r="B218" t="s">
        <v>438</v>
      </c>
      <c r="D218" t="s">
        <v>1166</v>
      </c>
      <c r="G218" t="s">
        <v>1750</v>
      </c>
      <c r="H218" t="s">
        <v>1751</v>
      </c>
      <c r="I218" t="s">
        <v>41</v>
      </c>
      <c r="J218">
        <v>0</v>
      </c>
      <c r="K218" t="s">
        <v>86</v>
      </c>
      <c r="L218" t="s">
        <v>43</v>
      </c>
      <c r="M218" t="s">
        <v>44</v>
      </c>
      <c r="O218" t="s">
        <v>106</v>
      </c>
      <c r="Q218" s="154" t="s">
        <v>1752</v>
      </c>
    </row>
    <row r="219" spans="1:29" x14ac:dyDescent="0.3">
      <c r="A219" t="s">
        <v>1753</v>
      </c>
      <c r="B219" t="s">
        <v>438</v>
      </c>
      <c r="D219" t="s">
        <v>1166</v>
      </c>
      <c r="G219" t="s">
        <v>1754</v>
      </c>
      <c r="I219" t="s">
        <v>41</v>
      </c>
      <c r="J219">
        <v>0</v>
      </c>
      <c r="K219" t="s">
        <v>86</v>
      </c>
      <c r="L219" t="s">
        <v>44</v>
      </c>
      <c r="M219" t="s">
        <v>44</v>
      </c>
      <c r="O219" t="s">
        <v>45</v>
      </c>
      <c r="Q219" s="154" t="s">
        <v>1755</v>
      </c>
      <c r="R219" s="151">
        <v>0.75</v>
      </c>
      <c r="X219" s="151">
        <v>0.02</v>
      </c>
      <c r="AB219" t="s">
        <v>77</v>
      </c>
      <c r="AC219" t="s">
        <v>1264</v>
      </c>
    </row>
    <row r="220" spans="1:29" x14ac:dyDescent="0.3">
      <c r="A220" t="s">
        <v>1756</v>
      </c>
      <c r="B220" t="s">
        <v>438</v>
      </c>
      <c r="D220" t="s">
        <v>1166</v>
      </c>
      <c r="G220" t="s">
        <v>1757</v>
      </c>
      <c r="H220" t="s">
        <v>1745</v>
      </c>
      <c r="I220" t="s">
        <v>41</v>
      </c>
      <c r="J220">
        <v>0</v>
      </c>
      <c r="O220" t="s">
        <v>157</v>
      </c>
      <c r="AB220" t="s">
        <v>77</v>
      </c>
      <c r="AC220" t="s">
        <v>1264</v>
      </c>
    </row>
    <row r="221" spans="1:29" x14ac:dyDescent="0.3">
      <c r="A221" t="s">
        <v>1758</v>
      </c>
      <c r="B221" t="s">
        <v>438</v>
      </c>
      <c r="D221" t="s">
        <v>1166</v>
      </c>
      <c r="G221" t="s">
        <v>1759</v>
      </c>
      <c r="I221" t="s">
        <v>41</v>
      </c>
      <c r="J221">
        <v>0</v>
      </c>
      <c r="K221" t="s">
        <v>42</v>
      </c>
      <c r="L221" t="s">
        <v>43</v>
      </c>
      <c r="M221" t="s">
        <v>44</v>
      </c>
      <c r="O221" t="s">
        <v>87</v>
      </c>
      <c r="AB221" t="s">
        <v>1267</v>
      </c>
    </row>
    <row r="222" spans="1:29" x14ac:dyDescent="0.3">
      <c r="A222" t="s">
        <v>1760</v>
      </c>
      <c r="B222" t="s">
        <v>438</v>
      </c>
      <c r="D222" t="s">
        <v>1166</v>
      </c>
      <c r="G222" t="s">
        <v>1761</v>
      </c>
      <c r="H222" t="s">
        <v>1692</v>
      </c>
      <c r="I222" t="s">
        <v>41</v>
      </c>
      <c r="J222">
        <v>0</v>
      </c>
      <c r="K222" t="s">
        <v>86</v>
      </c>
      <c r="L222" t="s">
        <v>44</v>
      </c>
      <c r="M222" t="s">
        <v>44</v>
      </c>
      <c r="O222" t="s">
        <v>119</v>
      </c>
      <c r="AB222" t="s">
        <v>1331</v>
      </c>
    </row>
    <row r="223" spans="1:29" x14ac:dyDescent="0.3">
      <c r="A223" t="s">
        <v>1762</v>
      </c>
      <c r="B223" t="s">
        <v>438</v>
      </c>
      <c r="D223" t="s">
        <v>1166</v>
      </c>
      <c r="G223" t="s">
        <v>1763</v>
      </c>
      <c r="I223" t="s">
        <v>41</v>
      </c>
      <c r="J223">
        <v>0</v>
      </c>
      <c r="K223" t="s">
        <v>53</v>
      </c>
      <c r="L223" t="s">
        <v>44</v>
      </c>
      <c r="M223" t="s">
        <v>44</v>
      </c>
      <c r="O223" t="s">
        <v>106</v>
      </c>
      <c r="Q223" s="154" t="s">
        <v>1764</v>
      </c>
      <c r="R223" s="151">
        <v>0.75</v>
      </c>
      <c r="X223" s="151">
        <v>0.1</v>
      </c>
      <c r="AB223" t="s">
        <v>77</v>
      </c>
    </row>
    <row r="224" spans="1:29" x14ac:dyDescent="0.3">
      <c r="A224" t="s">
        <v>1765</v>
      </c>
      <c r="B224" t="s">
        <v>438</v>
      </c>
      <c r="D224" t="s">
        <v>1166</v>
      </c>
      <c r="G224" t="s">
        <v>1766</v>
      </c>
      <c r="I224" t="s">
        <v>41</v>
      </c>
      <c r="J224">
        <v>0</v>
      </c>
      <c r="K224" t="s">
        <v>53</v>
      </c>
      <c r="L224" t="s">
        <v>44</v>
      </c>
      <c r="M224" t="s">
        <v>44</v>
      </c>
      <c r="O224" t="s">
        <v>45</v>
      </c>
      <c r="Q224" s="154" t="s">
        <v>1767</v>
      </c>
      <c r="AB224" t="s">
        <v>77</v>
      </c>
      <c r="AC224" t="s">
        <v>484</v>
      </c>
    </row>
    <row r="225" spans="1:29" x14ac:dyDescent="0.3">
      <c r="A225" t="s">
        <v>1768</v>
      </c>
      <c r="B225" t="s">
        <v>438</v>
      </c>
      <c r="D225" t="s">
        <v>1166</v>
      </c>
      <c r="G225" t="s">
        <v>1769</v>
      </c>
      <c r="I225" t="s">
        <v>41</v>
      </c>
      <c r="J225">
        <v>0</v>
      </c>
      <c r="K225" t="s">
        <v>86</v>
      </c>
      <c r="L225" t="s">
        <v>44</v>
      </c>
      <c r="M225" t="s">
        <v>44</v>
      </c>
      <c r="O225" t="s">
        <v>119</v>
      </c>
      <c r="AB225" t="s">
        <v>77</v>
      </c>
      <c r="AC225" t="s">
        <v>592</v>
      </c>
    </row>
    <row r="226" spans="1:29" x14ac:dyDescent="0.3">
      <c r="A226" t="s">
        <v>1770</v>
      </c>
      <c r="B226" t="s">
        <v>438</v>
      </c>
      <c r="D226" t="s">
        <v>1166</v>
      </c>
      <c r="G226" t="s">
        <v>1771</v>
      </c>
      <c r="I226" t="s">
        <v>41</v>
      </c>
      <c r="J226">
        <v>0</v>
      </c>
      <c r="K226" t="s">
        <v>42</v>
      </c>
      <c r="L226" t="s">
        <v>43</v>
      </c>
      <c r="M226" t="s">
        <v>43</v>
      </c>
      <c r="O226" t="s">
        <v>119</v>
      </c>
    </row>
    <row r="227" spans="1:29" x14ac:dyDescent="0.3">
      <c r="A227" t="s">
        <v>1772</v>
      </c>
      <c r="B227" t="s">
        <v>438</v>
      </c>
      <c r="D227" t="s">
        <v>1166</v>
      </c>
      <c r="G227" t="s">
        <v>1773</v>
      </c>
      <c r="H227" t="s">
        <v>1774</v>
      </c>
      <c r="I227" t="s">
        <v>41</v>
      </c>
      <c r="J227">
        <v>1</v>
      </c>
      <c r="O227" t="s">
        <v>157</v>
      </c>
    </row>
    <row r="228" spans="1:29" ht="15" customHeight="1" x14ac:dyDescent="0.3">
      <c r="A228" t="s">
        <v>1775</v>
      </c>
      <c r="B228" t="s">
        <v>438</v>
      </c>
      <c r="G228" t="s">
        <v>1776</v>
      </c>
      <c r="H228" t="s">
        <v>1777</v>
      </c>
      <c r="I228" t="s">
        <v>140</v>
      </c>
      <c r="K228" t="s">
        <v>53</v>
      </c>
      <c r="L228" t="s">
        <v>44</v>
      </c>
      <c r="M228" t="s">
        <v>44</v>
      </c>
      <c r="O228" t="s">
        <v>119</v>
      </c>
      <c r="AB228" t="s">
        <v>492</v>
      </c>
    </row>
    <row r="229" spans="1:29" x14ac:dyDescent="0.3">
      <c r="B229" t="s">
        <v>438</v>
      </c>
      <c r="D229" t="s">
        <v>1166</v>
      </c>
      <c r="G229" t="s">
        <v>1778</v>
      </c>
      <c r="I229" t="s">
        <v>41</v>
      </c>
      <c r="J229">
        <v>0</v>
      </c>
      <c r="K229" t="s">
        <v>53</v>
      </c>
      <c r="L229" t="s">
        <v>44</v>
      </c>
      <c r="M229" t="s">
        <v>44</v>
      </c>
      <c r="O229" t="s">
        <v>106</v>
      </c>
      <c r="Q229" s="154" t="s">
        <v>1779</v>
      </c>
      <c r="R229" s="151">
        <v>0.75</v>
      </c>
      <c r="X229" s="151">
        <v>0.01</v>
      </c>
      <c r="AB229" t="s">
        <v>1780</v>
      </c>
    </row>
    <row r="230" spans="1:29" x14ac:dyDescent="0.3">
      <c r="A230" t="s">
        <v>1781</v>
      </c>
      <c r="B230" t="s">
        <v>438</v>
      </c>
      <c r="D230" t="s">
        <v>1166</v>
      </c>
      <c r="G230" t="s">
        <v>1782</v>
      </c>
      <c r="I230" t="s">
        <v>41</v>
      </c>
      <c r="J230">
        <v>0</v>
      </c>
      <c r="K230" t="s">
        <v>42</v>
      </c>
      <c r="L230" t="s">
        <v>111</v>
      </c>
      <c r="M230" t="s">
        <v>43</v>
      </c>
      <c r="O230" t="s">
        <v>106</v>
      </c>
      <c r="Q230" s="154" t="s">
        <v>1783</v>
      </c>
      <c r="AB230" t="s">
        <v>77</v>
      </c>
      <c r="AC230" t="s">
        <v>1784</v>
      </c>
    </row>
    <row r="231" spans="1:29" x14ac:dyDescent="0.3">
      <c r="A231" t="s">
        <v>1785</v>
      </c>
      <c r="B231" t="s">
        <v>438</v>
      </c>
      <c r="D231" t="s">
        <v>1166</v>
      </c>
      <c r="G231" t="s">
        <v>1786</v>
      </c>
      <c r="I231" t="s">
        <v>41</v>
      </c>
      <c r="J231">
        <v>1</v>
      </c>
      <c r="K231" t="s">
        <v>42</v>
      </c>
      <c r="L231" t="s">
        <v>43</v>
      </c>
      <c r="M231" t="s">
        <v>44</v>
      </c>
      <c r="O231" t="s">
        <v>119</v>
      </c>
      <c r="AB231" t="s">
        <v>1787</v>
      </c>
    </row>
    <row r="232" spans="1:29" x14ac:dyDescent="0.3">
      <c r="B232" t="s">
        <v>438</v>
      </c>
      <c r="D232" t="s">
        <v>1166</v>
      </c>
      <c r="G232" t="s">
        <v>1788</v>
      </c>
      <c r="H232" t="s">
        <v>1789</v>
      </c>
      <c r="I232" t="s">
        <v>41</v>
      </c>
      <c r="J232">
        <v>0</v>
      </c>
      <c r="K232" t="s">
        <v>53</v>
      </c>
      <c r="L232" t="s">
        <v>44</v>
      </c>
      <c r="M232" t="s">
        <v>44</v>
      </c>
      <c r="O232" t="s">
        <v>119</v>
      </c>
      <c r="AB232" t="s">
        <v>77</v>
      </c>
    </row>
    <row r="233" spans="1:29" x14ac:dyDescent="0.3">
      <c r="A233" t="s">
        <v>1790</v>
      </c>
      <c r="B233" t="s">
        <v>438</v>
      </c>
      <c r="D233" t="s">
        <v>1166</v>
      </c>
      <c r="G233" t="s">
        <v>1791</v>
      </c>
      <c r="I233" t="s">
        <v>41</v>
      </c>
      <c r="J233">
        <v>0</v>
      </c>
      <c r="K233" t="s">
        <v>42</v>
      </c>
      <c r="L233" t="s">
        <v>44</v>
      </c>
      <c r="M233" t="s">
        <v>44</v>
      </c>
      <c r="O233" t="s">
        <v>45</v>
      </c>
      <c r="Q233" s="154" t="s">
        <v>1792</v>
      </c>
    </row>
    <row r="234" spans="1:29" x14ac:dyDescent="0.3">
      <c r="B234" t="s">
        <v>438</v>
      </c>
      <c r="D234" t="s">
        <v>1166</v>
      </c>
      <c r="G234" t="s">
        <v>1793</v>
      </c>
      <c r="I234" t="s">
        <v>52</v>
      </c>
      <c r="K234" t="s">
        <v>53</v>
      </c>
      <c r="L234" t="s">
        <v>44</v>
      </c>
      <c r="M234" t="s">
        <v>44</v>
      </c>
      <c r="O234" t="s">
        <v>106</v>
      </c>
      <c r="Q234" s="154" t="s">
        <v>1794</v>
      </c>
      <c r="R234" s="151">
        <v>0.75</v>
      </c>
      <c r="AB234" t="s">
        <v>1795</v>
      </c>
      <c r="AC234" t="s">
        <v>1796</v>
      </c>
    </row>
    <row r="235" spans="1:29" x14ac:dyDescent="0.3">
      <c r="B235" t="s">
        <v>438</v>
      </c>
      <c r="G235" t="s">
        <v>1797</v>
      </c>
      <c r="I235" t="s">
        <v>52</v>
      </c>
      <c r="K235" t="s">
        <v>86</v>
      </c>
      <c r="L235" t="s">
        <v>43</v>
      </c>
      <c r="M235" t="s">
        <v>43</v>
      </c>
      <c r="O235" t="s">
        <v>45</v>
      </c>
      <c r="Q235" s="154" t="s">
        <v>1798</v>
      </c>
      <c r="R235" s="151">
        <v>0.75</v>
      </c>
      <c r="X235" s="151">
        <v>0.5</v>
      </c>
      <c r="AB235" t="s">
        <v>1084</v>
      </c>
      <c r="AC235" t="s">
        <v>77</v>
      </c>
    </row>
    <row r="236" spans="1:29" x14ac:dyDescent="0.3">
      <c r="B236" t="s">
        <v>438</v>
      </c>
      <c r="G236" t="s">
        <v>1799</v>
      </c>
      <c r="H236" t="s">
        <v>1800</v>
      </c>
      <c r="I236" t="s">
        <v>52</v>
      </c>
      <c r="K236" t="s">
        <v>42</v>
      </c>
      <c r="L236" t="s">
        <v>43</v>
      </c>
      <c r="M236" t="s">
        <v>43</v>
      </c>
      <c r="O236" t="s">
        <v>45</v>
      </c>
      <c r="Q236" s="154" t="s">
        <v>1801</v>
      </c>
      <c r="R236" s="151">
        <v>0.5</v>
      </c>
      <c r="X236" s="151">
        <v>0.5</v>
      </c>
      <c r="AB236" t="s">
        <v>1084</v>
      </c>
      <c r="AC236" t="s">
        <v>77</v>
      </c>
    </row>
    <row r="237" spans="1:29" x14ac:dyDescent="0.3">
      <c r="B237" t="s">
        <v>438</v>
      </c>
      <c r="G237" t="s">
        <v>1802</v>
      </c>
      <c r="I237" t="s">
        <v>52</v>
      </c>
      <c r="K237" t="s">
        <v>86</v>
      </c>
      <c r="L237" t="s">
        <v>43</v>
      </c>
      <c r="M237" t="s">
        <v>43</v>
      </c>
      <c r="O237" t="s">
        <v>119</v>
      </c>
      <c r="AB237" t="s">
        <v>1803</v>
      </c>
    </row>
    <row r="238" spans="1:29" x14ac:dyDescent="0.3">
      <c r="V238" s="105"/>
    </row>
  </sheetData>
  <autoFilter ref="A2:AC237" xr:uid="{8907D25F-977D-469C-847D-3486D3E11824}"/>
  <phoneticPr fontId="7" type="noConversion"/>
  <dataValidations count="6">
    <dataValidation type="list" allowBlank="1" showInputMessage="1" showErrorMessage="1" sqref="N3:N10 O234:O237 O1:P233 O238:P1048576" xr:uid="{3155B032-2632-43D3-A198-60E441C82ACC}">
      <formula1>Ranking</formula1>
    </dataValidation>
    <dataValidation type="list" allowBlank="1" showInputMessage="1" showErrorMessage="1" sqref="J3:J10 L238:M1048576 L1:M237" xr:uid="{C566CCB0-2E98-4F86-8B1E-54817700EEED}">
      <formula1>HLM</formula1>
    </dataValidation>
    <dataValidation type="list" allowBlank="1" showInputMessage="1" showErrorMessage="1" sqref="D229:D237 D3:D227" xr:uid="{D3939FF0-1F9D-4BC9-9DBF-574AA09AC2C5}">
      <formula1>Source_d_emission_niv2</formula1>
    </dataValidation>
    <dataValidation type="list" allowBlank="1" showInputMessage="1" showErrorMessage="1" sqref="C229:C237 C113:C114 C207 C89:C93 C65:C75 C3:C41 C195 C177:C180 C153:C158" xr:uid="{D65D0177-1748-426D-BC99-F6115EDBBB57}">
      <formula1>Source_d_emission_niv1</formula1>
    </dataValidation>
    <dataValidation type="list" allowBlank="1" showInputMessage="1" showErrorMessage="1" sqref="J75" xr:uid="{61CE9CFF-8C6B-412B-B4CA-D5A295034BD1}">
      <formula1>Source</formula1>
    </dataValidation>
    <dataValidation type="list" allowBlank="1" showInputMessage="1" showErrorMessage="1" sqref="K238:K1048576 K1:K237" xr:uid="{6A54A238-E754-4FF4-AF30-EE5E96E2CAEC}">
      <formula1>Feasibility</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601E063-391C-41E1-B3A6-EF8CF680E81D}">
          <x14:formula1>
            <xm:f>Lists!$E$2:$E$6</xm:f>
          </x14:formula1>
          <xm:sqref>I1:I114 I238:I1048576 I159:I237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8E788-9DB4-40A4-92F3-B2EBA386A97D}">
  <sheetPr codeName="Sheet13">
    <tabColor theme="0" tint="-0.499984740745262"/>
  </sheetPr>
  <dimension ref="A1:S263"/>
  <sheetViews>
    <sheetView zoomScaleNormal="100" workbookViewId="0">
      <pane ySplit="1" topLeftCell="A2" activePane="bottomLeft" state="frozen"/>
      <selection pane="bottomLeft" activeCell="B28" sqref="B28"/>
    </sheetView>
  </sheetViews>
  <sheetFormatPr baseColWidth="10" defaultColWidth="11.5546875" defaultRowHeight="14.4" x14ac:dyDescent="0.3"/>
  <cols>
    <col min="1" max="1" width="44.44140625" customWidth="1"/>
    <col min="2" max="2" width="123.44140625" customWidth="1"/>
    <col min="3" max="3" width="18.44140625" style="15" customWidth="1"/>
    <col min="4" max="4" width="8.44140625" style="15" customWidth="1"/>
    <col min="5" max="5" width="23.5546875" style="15" customWidth="1"/>
    <col min="6" max="6" width="34" style="15" customWidth="1"/>
    <col min="7" max="7" width="16.44140625" style="15" customWidth="1"/>
    <col min="8" max="8" width="21.5546875" customWidth="1"/>
    <col min="9" max="9" width="15.44140625" customWidth="1"/>
    <col min="10" max="13" width="15.88671875" bestFit="1" customWidth="1"/>
    <col min="16" max="16" width="35.88671875" customWidth="1"/>
    <col min="17" max="17" width="26.5546875" customWidth="1"/>
  </cols>
  <sheetData>
    <row r="1" spans="1:19" ht="15" thickBot="1" x14ac:dyDescent="0.35">
      <c r="A1" s="6" t="s">
        <v>1805</v>
      </c>
      <c r="B1" s="7" t="s">
        <v>1806</v>
      </c>
      <c r="C1" s="8" t="s">
        <v>1807</v>
      </c>
      <c r="D1" s="8" t="s">
        <v>1808</v>
      </c>
      <c r="E1" s="8" t="s">
        <v>1809</v>
      </c>
      <c r="F1" s="8" t="s">
        <v>1</v>
      </c>
      <c r="G1" s="8" t="s">
        <v>1810</v>
      </c>
      <c r="H1" s="9" t="s">
        <v>1811</v>
      </c>
      <c r="I1" s="22" t="s">
        <v>1812</v>
      </c>
      <c r="J1" s="22" t="s">
        <v>1813</v>
      </c>
      <c r="K1" s="22" t="s">
        <v>1814</v>
      </c>
      <c r="L1" s="22" t="s">
        <v>1815</v>
      </c>
      <c r="M1" s="22" t="s">
        <v>1816</v>
      </c>
      <c r="P1" t="s">
        <v>1817</v>
      </c>
      <c r="Q1" t="s">
        <v>1818</v>
      </c>
      <c r="R1" t="s">
        <v>1807</v>
      </c>
      <c r="S1" t="s">
        <v>1809</v>
      </c>
    </row>
    <row r="2" spans="1:19" ht="15.6" x14ac:dyDescent="0.3">
      <c r="A2" t="s">
        <v>1819</v>
      </c>
      <c r="B2" s="10" t="s">
        <v>1820</v>
      </c>
      <c r="C2" s="11" t="s">
        <v>1821</v>
      </c>
      <c r="D2" s="11" t="s">
        <v>1822</v>
      </c>
      <c r="E2" s="11" t="s">
        <v>813</v>
      </c>
      <c r="F2" s="11" t="s">
        <v>34</v>
      </c>
      <c r="G2" s="11">
        <f t="shared" ref="G2:G65" si="0">VLOOKUP(F2,$P$2:$Q$11,2,FALSE)</f>
        <v>8</v>
      </c>
      <c r="H2" s="12" t="s">
        <v>1823</v>
      </c>
      <c r="P2" t="s">
        <v>1275</v>
      </c>
      <c r="Q2">
        <v>1</v>
      </c>
      <c r="R2" t="s">
        <v>1821</v>
      </c>
      <c r="S2" t="s">
        <v>1824</v>
      </c>
    </row>
    <row r="3" spans="1:19" ht="15.6" x14ac:dyDescent="0.3">
      <c r="A3" t="s">
        <v>1819</v>
      </c>
      <c r="B3" s="10" t="s">
        <v>1825</v>
      </c>
      <c r="C3" s="11" t="s">
        <v>1821</v>
      </c>
      <c r="D3" s="11" t="s">
        <v>1822</v>
      </c>
      <c r="E3" s="11" t="s">
        <v>813</v>
      </c>
      <c r="F3" s="11" t="s">
        <v>34</v>
      </c>
      <c r="G3" s="11">
        <f t="shared" si="0"/>
        <v>8</v>
      </c>
      <c r="H3" s="12" t="s">
        <v>1826</v>
      </c>
      <c r="P3" t="s">
        <v>1358</v>
      </c>
      <c r="Q3">
        <v>2</v>
      </c>
      <c r="R3" t="s">
        <v>1827</v>
      </c>
      <c r="S3" t="s">
        <v>813</v>
      </c>
    </row>
    <row r="4" spans="1:19" ht="15.6" x14ac:dyDescent="0.3">
      <c r="A4" t="s">
        <v>1819</v>
      </c>
      <c r="B4" s="10" t="s">
        <v>1828</v>
      </c>
      <c r="C4" s="11" t="s">
        <v>1821</v>
      </c>
      <c r="D4" s="11" t="s">
        <v>1822</v>
      </c>
      <c r="E4" s="11" t="s">
        <v>813</v>
      </c>
      <c r="F4" s="11" t="s">
        <v>34</v>
      </c>
      <c r="G4" s="11">
        <f t="shared" si="0"/>
        <v>8</v>
      </c>
      <c r="H4" s="12" t="s">
        <v>1829</v>
      </c>
      <c r="P4" t="s">
        <v>99</v>
      </c>
      <c r="Q4">
        <v>3</v>
      </c>
      <c r="R4" t="s">
        <v>1830</v>
      </c>
      <c r="S4" t="s">
        <v>1831</v>
      </c>
    </row>
    <row r="5" spans="1:19" ht="15.6" x14ac:dyDescent="0.3">
      <c r="A5" t="s">
        <v>1819</v>
      </c>
      <c r="B5" s="10" t="s">
        <v>1832</v>
      </c>
      <c r="C5" s="11" t="s">
        <v>1821</v>
      </c>
      <c r="D5" s="11" t="s">
        <v>1822</v>
      </c>
      <c r="E5" s="11" t="s">
        <v>813</v>
      </c>
      <c r="F5" s="11" t="s">
        <v>34</v>
      </c>
      <c r="G5" s="11">
        <f t="shared" si="0"/>
        <v>8</v>
      </c>
      <c r="H5" s="12" t="s">
        <v>1833</v>
      </c>
      <c r="P5" t="s">
        <v>208</v>
      </c>
      <c r="Q5">
        <v>4</v>
      </c>
      <c r="R5" t="s">
        <v>1834</v>
      </c>
    </row>
    <row r="6" spans="1:19" ht="15.6" x14ac:dyDescent="0.3">
      <c r="A6" t="s">
        <v>1819</v>
      </c>
      <c r="B6" s="10" t="s">
        <v>1835</v>
      </c>
      <c r="C6" s="11" t="s">
        <v>1821</v>
      </c>
      <c r="D6" s="11" t="s">
        <v>1822</v>
      </c>
      <c r="E6" s="11" t="s">
        <v>813</v>
      </c>
      <c r="F6" s="11" t="s">
        <v>34</v>
      </c>
      <c r="G6" s="11">
        <f t="shared" si="0"/>
        <v>8</v>
      </c>
      <c r="H6" s="12" t="s">
        <v>1836</v>
      </c>
      <c r="P6" t="s">
        <v>556</v>
      </c>
      <c r="Q6">
        <v>5</v>
      </c>
    </row>
    <row r="7" spans="1:19" ht="15.6" x14ac:dyDescent="0.3">
      <c r="A7" t="s">
        <v>592</v>
      </c>
      <c r="B7" s="10" t="s">
        <v>1837</v>
      </c>
      <c r="C7" s="11" t="s">
        <v>1821</v>
      </c>
      <c r="D7" s="11" t="s">
        <v>1822</v>
      </c>
      <c r="E7" s="11" t="s">
        <v>813</v>
      </c>
      <c r="F7" s="11" t="s">
        <v>34</v>
      </c>
      <c r="G7" s="11">
        <f t="shared" si="0"/>
        <v>8</v>
      </c>
      <c r="H7" s="12" t="s">
        <v>1838</v>
      </c>
      <c r="P7" t="s">
        <v>346</v>
      </c>
      <c r="Q7">
        <v>6</v>
      </c>
    </row>
    <row r="8" spans="1:19" ht="15.6" x14ac:dyDescent="0.3">
      <c r="A8" t="s">
        <v>592</v>
      </c>
      <c r="B8" s="10" t="s">
        <v>1839</v>
      </c>
      <c r="C8" s="11" t="s">
        <v>1821</v>
      </c>
      <c r="D8" s="11" t="s">
        <v>1822</v>
      </c>
      <c r="E8" s="11" t="s">
        <v>813</v>
      </c>
      <c r="F8" s="11" t="s">
        <v>34</v>
      </c>
      <c r="G8" s="11">
        <f t="shared" si="0"/>
        <v>8</v>
      </c>
      <c r="H8" s="12" t="s">
        <v>405</v>
      </c>
      <c r="I8" t="str">
        <f>Admin_2024!A95</f>
        <v>1.Ad.4</v>
      </c>
      <c r="P8" t="s">
        <v>142</v>
      </c>
      <c r="Q8">
        <v>7</v>
      </c>
    </row>
    <row r="9" spans="1:19" ht="15.6" x14ac:dyDescent="0.3">
      <c r="A9" t="s">
        <v>1840</v>
      </c>
      <c r="B9" s="13" t="s">
        <v>1841</v>
      </c>
      <c r="C9" s="11" t="s">
        <v>1821</v>
      </c>
      <c r="D9" s="11" t="s">
        <v>1822</v>
      </c>
      <c r="E9" s="11" t="s">
        <v>813</v>
      </c>
      <c r="F9" s="11" t="s">
        <v>34</v>
      </c>
      <c r="G9" s="11">
        <f t="shared" si="0"/>
        <v>8</v>
      </c>
      <c r="H9" s="12" t="s">
        <v>1842</v>
      </c>
      <c r="P9" t="s">
        <v>34</v>
      </c>
      <c r="Q9">
        <v>8</v>
      </c>
    </row>
    <row r="10" spans="1:19" ht="15.6" x14ac:dyDescent="0.3">
      <c r="A10" t="s">
        <v>1843</v>
      </c>
      <c r="B10" s="10" t="s">
        <v>1844</v>
      </c>
      <c r="C10" s="11" t="s">
        <v>1827</v>
      </c>
      <c r="D10" s="11" t="s">
        <v>1845</v>
      </c>
      <c r="E10" s="11" t="s">
        <v>813</v>
      </c>
      <c r="F10" s="11" t="s">
        <v>346</v>
      </c>
      <c r="G10" s="11">
        <f t="shared" si="0"/>
        <v>6</v>
      </c>
      <c r="H10" s="12" t="s">
        <v>1846</v>
      </c>
      <c r="I10" s="102"/>
      <c r="P10" t="s">
        <v>1721</v>
      </c>
      <c r="Q10">
        <v>9</v>
      </c>
    </row>
    <row r="11" spans="1:19" ht="15.6" x14ac:dyDescent="0.3">
      <c r="A11" t="s">
        <v>1843</v>
      </c>
      <c r="B11" s="10" t="s">
        <v>1847</v>
      </c>
      <c r="C11" s="11" t="s">
        <v>1827</v>
      </c>
      <c r="D11" s="11" t="s">
        <v>1845</v>
      </c>
      <c r="E11" s="11" t="s">
        <v>813</v>
      </c>
      <c r="F11" s="11" t="s">
        <v>346</v>
      </c>
      <c r="G11" s="11">
        <f t="shared" si="0"/>
        <v>6</v>
      </c>
      <c r="H11" s="12" t="s">
        <v>1848</v>
      </c>
      <c r="I11" s="102"/>
      <c r="P11" t="s">
        <v>438</v>
      </c>
      <c r="Q11">
        <v>10</v>
      </c>
    </row>
    <row r="12" spans="1:19" x14ac:dyDescent="0.3">
      <c r="A12" t="s">
        <v>1843</v>
      </c>
      <c r="B12" t="s">
        <v>1849</v>
      </c>
      <c r="C12" s="11" t="s">
        <v>1827</v>
      </c>
      <c r="D12" s="11" t="s">
        <v>1845</v>
      </c>
      <c r="E12" s="11" t="s">
        <v>1824</v>
      </c>
      <c r="F12" s="11" t="s">
        <v>346</v>
      </c>
      <c r="G12" s="11">
        <f t="shared" si="0"/>
        <v>6</v>
      </c>
      <c r="H12" s="12" t="s">
        <v>1850</v>
      </c>
      <c r="I12" s="102"/>
    </row>
    <row r="13" spans="1:19" ht="15.6" x14ac:dyDescent="0.3">
      <c r="A13" t="s">
        <v>1851</v>
      </c>
      <c r="B13" s="14" t="s">
        <v>1852</v>
      </c>
      <c r="C13" s="11" t="s">
        <v>1830</v>
      </c>
      <c r="D13" s="11" t="s">
        <v>1853</v>
      </c>
      <c r="E13" s="11" t="s">
        <v>813</v>
      </c>
      <c r="F13" s="11" t="s">
        <v>34</v>
      </c>
      <c r="G13" s="11">
        <f t="shared" si="0"/>
        <v>8</v>
      </c>
      <c r="H13" s="12" t="s">
        <v>251</v>
      </c>
      <c r="I13" t="str">
        <f>Admin_2024!A8</f>
        <v>8.Ad.7</v>
      </c>
      <c r="J13" t="str">
        <f>Admin_2024!A20</f>
        <v>3.Ad.12</v>
      </c>
    </row>
    <row r="14" spans="1:19" ht="15.6" x14ac:dyDescent="0.3">
      <c r="A14" t="s">
        <v>1854</v>
      </c>
      <c r="B14" s="10" t="s">
        <v>1855</v>
      </c>
      <c r="C14" s="11" t="s">
        <v>1830</v>
      </c>
      <c r="D14" s="11" t="s">
        <v>1853</v>
      </c>
      <c r="E14" s="11" t="s">
        <v>813</v>
      </c>
      <c r="F14" s="11" t="s">
        <v>34</v>
      </c>
      <c r="G14" s="11">
        <f t="shared" si="0"/>
        <v>8</v>
      </c>
      <c r="H14" s="12" t="s">
        <v>1856</v>
      </c>
      <c r="I14" t="str">
        <f>Admin_2024!A93</f>
        <v>1.Ad.1</v>
      </c>
    </row>
    <row r="15" spans="1:19" ht="15.6" x14ac:dyDescent="0.3">
      <c r="A15" t="s">
        <v>1854</v>
      </c>
      <c r="B15" s="10" t="s">
        <v>1857</v>
      </c>
      <c r="C15" s="11" t="s">
        <v>1830</v>
      </c>
      <c r="D15" s="11" t="s">
        <v>1853</v>
      </c>
      <c r="E15" s="11" t="s">
        <v>813</v>
      </c>
      <c r="F15" s="11" t="s">
        <v>34</v>
      </c>
      <c r="G15" s="11">
        <f t="shared" si="0"/>
        <v>8</v>
      </c>
      <c r="H15" s="12" t="s">
        <v>1858</v>
      </c>
    </row>
    <row r="16" spans="1:19" ht="78" x14ac:dyDescent="0.3">
      <c r="A16" s="15" t="s">
        <v>769</v>
      </c>
      <c r="B16" s="16" t="s">
        <v>1859</v>
      </c>
      <c r="C16" s="11" t="s">
        <v>1830</v>
      </c>
      <c r="D16" s="11" t="s">
        <v>1853</v>
      </c>
      <c r="E16" s="11" t="s">
        <v>1824</v>
      </c>
      <c r="F16" s="11" t="s">
        <v>34</v>
      </c>
      <c r="G16" s="11">
        <f t="shared" si="0"/>
        <v>8</v>
      </c>
      <c r="H16" s="12" t="s">
        <v>1860</v>
      </c>
    </row>
    <row r="17" spans="1:13" ht="15.6" x14ac:dyDescent="0.3">
      <c r="A17" t="s">
        <v>592</v>
      </c>
      <c r="B17" s="10" t="s">
        <v>1861</v>
      </c>
      <c r="C17" s="11" t="s">
        <v>1821</v>
      </c>
      <c r="D17" s="11" t="s">
        <v>1822</v>
      </c>
      <c r="E17" s="11" t="s">
        <v>813</v>
      </c>
      <c r="F17" s="11" t="s">
        <v>142</v>
      </c>
      <c r="G17" s="11">
        <f t="shared" si="0"/>
        <v>7</v>
      </c>
      <c r="H17" s="12" t="s">
        <v>1862</v>
      </c>
    </row>
    <row r="18" spans="1:13" ht="15.6" x14ac:dyDescent="0.3">
      <c r="A18" t="s">
        <v>592</v>
      </c>
      <c r="B18" s="10" t="s">
        <v>1863</v>
      </c>
      <c r="C18" s="11" t="s">
        <v>1821</v>
      </c>
      <c r="D18" s="11" t="s">
        <v>1822</v>
      </c>
      <c r="E18" s="11" t="s">
        <v>813</v>
      </c>
      <c r="F18" s="11" t="s">
        <v>142</v>
      </c>
      <c r="G18" s="11">
        <f t="shared" si="0"/>
        <v>7</v>
      </c>
      <c r="H18" s="12" t="s">
        <v>1864</v>
      </c>
      <c r="I18">
        <f>Admin_2024!A113</f>
        <v>0</v>
      </c>
    </row>
    <row r="19" spans="1:13" ht="15.6" x14ac:dyDescent="0.3">
      <c r="A19" t="s">
        <v>592</v>
      </c>
      <c r="B19" s="10" t="s">
        <v>1865</v>
      </c>
      <c r="C19" s="11" t="s">
        <v>1821</v>
      </c>
      <c r="D19" s="11" t="s">
        <v>1822</v>
      </c>
      <c r="E19" s="11" t="s">
        <v>813</v>
      </c>
      <c r="F19" s="11" t="s">
        <v>142</v>
      </c>
      <c r="G19" s="11">
        <f t="shared" si="0"/>
        <v>7</v>
      </c>
      <c r="H19" s="12" t="s">
        <v>1866</v>
      </c>
    </row>
    <row r="20" spans="1:13" ht="15.6" x14ac:dyDescent="0.3">
      <c r="A20" t="s">
        <v>1867</v>
      </c>
      <c r="B20" s="10" t="s">
        <v>1868</v>
      </c>
      <c r="C20" s="11" t="s">
        <v>1821</v>
      </c>
      <c r="D20" s="11" t="s">
        <v>1822</v>
      </c>
      <c r="E20" s="11" t="s">
        <v>813</v>
      </c>
      <c r="F20" s="11" t="s">
        <v>142</v>
      </c>
      <c r="G20" s="11">
        <f t="shared" si="0"/>
        <v>7</v>
      </c>
      <c r="H20" s="12" t="s">
        <v>1869</v>
      </c>
    </row>
    <row r="21" spans="1:13" ht="15.6" x14ac:dyDescent="0.3">
      <c r="A21" t="s">
        <v>1867</v>
      </c>
      <c r="B21" s="10" t="s">
        <v>1870</v>
      </c>
      <c r="C21" s="11" t="s">
        <v>1821</v>
      </c>
      <c r="D21" s="11" t="s">
        <v>1822</v>
      </c>
      <c r="E21" s="11" t="s">
        <v>813</v>
      </c>
      <c r="F21" s="11" t="s">
        <v>142</v>
      </c>
      <c r="G21" s="11">
        <f t="shared" si="0"/>
        <v>7</v>
      </c>
      <c r="H21" s="12" t="s">
        <v>146</v>
      </c>
      <c r="I21" t="str">
        <f>Admin_2024!A110</f>
        <v>5.Ad.6</v>
      </c>
      <c r="J21">
        <f>Admin_2024!A116</f>
        <v>0</v>
      </c>
    </row>
    <row r="22" spans="1:13" ht="15.6" x14ac:dyDescent="0.3">
      <c r="A22" t="s">
        <v>1867</v>
      </c>
      <c r="B22" s="10" t="s">
        <v>1871</v>
      </c>
      <c r="C22" s="11" t="s">
        <v>1821</v>
      </c>
      <c r="D22" s="11" t="s">
        <v>1822</v>
      </c>
      <c r="E22" s="11" t="s">
        <v>1824</v>
      </c>
      <c r="F22" s="11" t="s">
        <v>142</v>
      </c>
      <c r="G22" s="11">
        <f t="shared" si="0"/>
        <v>7</v>
      </c>
      <c r="H22" s="12" t="s">
        <v>201</v>
      </c>
      <c r="I22" t="e">
        <f>Admin_2024!#REF!</f>
        <v>#REF!</v>
      </c>
      <c r="J22" t="str">
        <f>'FYI - Territoire'!A181</f>
        <v>7.Te.1</v>
      </c>
    </row>
    <row r="23" spans="1:13" ht="15.6" x14ac:dyDescent="0.3">
      <c r="A23" t="s">
        <v>1867</v>
      </c>
      <c r="B23" s="10" t="s">
        <v>1872</v>
      </c>
      <c r="C23" s="11" t="s">
        <v>1821</v>
      </c>
      <c r="D23" s="11" t="s">
        <v>1822</v>
      </c>
      <c r="E23" s="11" t="s">
        <v>1824</v>
      </c>
      <c r="F23" s="11" t="s">
        <v>142</v>
      </c>
      <c r="G23" s="11">
        <f t="shared" si="0"/>
        <v>7</v>
      </c>
      <c r="H23" s="12" t="s">
        <v>169</v>
      </c>
      <c r="I23" t="str">
        <f>Admin_2024!A109</f>
        <v>5.Ad.5</v>
      </c>
      <c r="J23" t="e">
        <f>Admin_2024!#REF!</f>
        <v>#REF!</v>
      </c>
      <c r="K23">
        <f>Admin_2024!A112</f>
        <v>0</v>
      </c>
      <c r="L23" t="e">
        <f>'FYI - Territoire'!#REF!</f>
        <v>#REF!</v>
      </c>
      <c r="M23" t="str">
        <f>'FYI - Territoire'!A192</f>
        <v>7.Te.15</v>
      </c>
    </row>
    <row r="24" spans="1:13" ht="15.6" x14ac:dyDescent="0.3">
      <c r="A24" t="s">
        <v>1867</v>
      </c>
      <c r="B24" s="10" t="s">
        <v>1873</v>
      </c>
      <c r="C24" s="11" t="s">
        <v>1821</v>
      </c>
      <c r="D24" s="11" t="s">
        <v>1822</v>
      </c>
      <c r="E24" s="11" t="s">
        <v>1824</v>
      </c>
      <c r="F24" s="11" t="s">
        <v>142</v>
      </c>
      <c r="G24" s="11">
        <f t="shared" si="0"/>
        <v>7</v>
      </c>
      <c r="H24" s="12" t="s">
        <v>156</v>
      </c>
      <c r="I24">
        <f>Admin_2024!A115</f>
        <v>0</v>
      </c>
      <c r="J24" t="e">
        <f>Admin_2024!#REF!</f>
        <v>#REF!</v>
      </c>
    </row>
    <row r="25" spans="1:13" ht="15.6" x14ac:dyDescent="0.3">
      <c r="A25" t="s">
        <v>1867</v>
      </c>
      <c r="B25" s="10" t="s">
        <v>1874</v>
      </c>
      <c r="C25" s="11" t="s">
        <v>1821</v>
      </c>
      <c r="D25" s="11" t="s">
        <v>1822</v>
      </c>
      <c r="E25" s="11" t="s">
        <v>1824</v>
      </c>
      <c r="F25" s="11" t="s">
        <v>142</v>
      </c>
      <c r="G25" s="11">
        <f t="shared" si="0"/>
        <v>7</v>
      </c>
      <c r="H25" s="12" t="s">
        <v>151</v>
      </c>
      <c r="I25" t="e">
        <f>Admin_2024!#REF!</f>
        <v>#REF!</v>
      </c>
      <c r="J25" t="str">
        <f>'FYI - Territoire'!A188</f>
        <v>7.Te.9</v>
      </c>
      <c r="K25" t="str">
        <f>'FYI - Territoire'!A191</f>
        <v>7.Te.14</v>
      </c>
    </row>
    <row r="26" spans="1:13" ht="15.6" x14ac:dyDescent="0.3">
      <c r="A26" t="s">
        <v>592</v>
      </c>
      <c r="B26" s="10" t="s">
        <v>1875</v>
      </c>
      <c r="C26" s="11" t="s">
        <v>1830</v>
      </c>
      <c r="D26" s="11" t="s">
        <v>1853</v>
      </c>
      <c r="E26" s="11" t="s">
        <v>813</v>
      </c>
      <c r="F26" s="11" t="s">
        <v>142</v>
      </c>
      <c r="G26" s="11">
        <f t="shared" si="0"/>
        <v>7</v>
      </c>
      <c r="H26" s="12" t="s">
        <v>1659</v>
      </c>
      <c r="I26" t="str">
        <f>'FYI - Territoire'!A187</f>
        <v>7.Te.8</v>
      </c>
      <c r="J26" t="str">
        <f>'FYI - Territoire'!A199</f>
        <v>8.Te.4</v>
      </c>
    </row>
    <row r="27" spans="1:13" ht="15.6" x14ac:dyDescent="0.3">
      <c r="A27" t="s">
        <v>1867</v>
      </c>
      <c r="B27" s="10" t="s">
        <v>1876</v>
      </c>
      <c r="C27" s="11" t="s">
        <v>1830</v>
      </c>
      <c r="D27" s="11" t="s">
        <v>1853</v>
      </c>
      <c r="E27" s="11" t="s">
        <v>813</v>
      </c>
      <c r="F27" s="11" t="s">
        <v>142</v>
      </c>
      <c r="G27" s="11">
        <f t="shared" si="0"/>
        <v>7</v>
      </c>
      <c r="H27" s="12" t="s">
        <v>191</v>
      </c>
      <c r="I27" t="str">
        <f>Admin_2024!A108</f>
        <v>5.Ad.3</v>
      </c>
      <c r="J27" t="str">
        <f>'FYI - Territoire'!A183</f>
        <v>7.Te.4</v>
      </c>
      <c r="K27" t="str">
        <f>'FYI - Territoire'!A184</f>
        <v>7.Te.5</v>
      </c>
    </row>
    <row r="28" spans="1:13" x14ac:dyDescent="0.3">
      <c r="A28" t="s">
        <v>1877</v>
      </c>
      <c r="B28" t="s">
        <v>1878</v>
      </c>
      <c r="C28" s="11" t="s">
        <v>1821</v>
      </c>
      <c r="D28" s="11" t="s">
        <v>1822</v>
      </c>
      <c r="E28" s="11" t="s">
        <v>813</v>
      </c>
      <c r="F28" s="11" t="s">
        <v>208</v>
      </c>
      <c r="G28" s="11">
        <f t="shared" si="0"/>
        <v>4</v>
      </c>
      <c r="H28" s="12" t="s">
        <v>1879</v>
      </c>
      <c r="I28" t="e">
        <f>Admin_2024!#REF!</f>
        <v>#REF!</v>
      </c>
    </row>
    <row r="29" spans="1:13" ht="15.6" x14ac:dyDescent="0.3">
      <c r="A29" t="s">
        <v>1851</v>
      </c>
      <c r="B29" s="14" t="s">
        <v>1880</v>
      </c>
      <c r="C29" s="11" t="s">
        <v>1821</v>
      </c>
      <c r="D29" s="11" t="s">
        <v>1822</v>
      </c>
      <c r="E29" s="11" t="s">
        <v>813</v>
      </c>
      <c r="F29" s="11" t="s">
        <v>208</v>
      </c>
      <c r="G29" s="11">
        <f t="shared" si="0"/>
        <v>4</v>
      </c>
      <c r="H29" s="12" t="s">
        <v>1881</v>
      </c>
    </row>
    <row r="30" spans="1:13" ht="15.6" x14ac:dyDescent="0.3">
      <c r="A30" t="s">
        <v>1851</v>
      </c>
      <c r="B30" s="14" t="s">
        <v>1882</v>
      </c>
      <c r="C30" s="11" t="s">
        <v>1821</v>
      </c>
      <c r="D30" s="11" t="s">
        <v>1822</v>
      </c>
      <c r="E30" s="11" t="s">
        <v>813</v>
      </c>
      <c r="F30" s="11" t="s">
        <v>208</v>
      </c>
      <c r="G30" s="11">
        <f t="shared" si="0"/>
        <v>4</v>
      </c>
      <c r="H30" s="12" t="s">
        <v>1883</v>
      </c>
    </row>
    <row r="31" spans="1:13" x14ac:dyDescent="0.3">
      <c r="A31" t="s">
        <v>1843</v>
      </c>
      <c r="B31" t="s">
        <v>1884</v>
      </c>
      <c r="C31" s="11" t="s">
        <v>1821</v>
      </c>
      <c r="D31" s="11" t="s">
        <v>1822</v>
      </c>
      <c r="E31" s="11" t="s">
        <v>1831</v>
      </c>
      <c r="F31" s="11" t="s">
        <v>208</v>
      </c>
      <c r="G31" s="11">
        <f t="shared" si="0"/>
        <v>4</v>
      </c>
      <c r="H31" s="12" t="s">
        <v>1885</v>
      </c>
    </row>
    <row r="32" spans="1:13" x14ac:dyDescent="0.3">
      <c r="A32" t="s">
        <v>1843</v>
      </c>
      <c r="B32" t="s">
        <v>1886</v>
      </c>
      <c r="C32" s="11" t="s">
        <v>1821</v>
      </c>
      <c r="D32" s="11" t="s">
        <v>1822</v>
      </c>
      <c r="E32" s="11" t="s">
        <v>1824</v>
      </c>
      <c r="F32" s="11" t="s">
        <v>208</v>
      </c>
      <c r="G32" s="11">
        <f t="shared" si="0"/>
        <v>4</v>
      </c>
      <c r="H32" s="12" t="s">
        <v>1887</v>
      </c>
    </row>
    <row r="33" spans="1:12" x14ac:dyDescent="0.3">
      <c r="A33" t="s">
        <v>1843</v>
      </c>
      <c r="B33" t="s">
        <v>1888</v>
      </c>
      <c r="C33" s="11" t="s">
        <v>1821</v>
      </c>
      <c r="D33" s="11" t="s">
        <v>1822</v>
      </c>
      <c r="E33" s="11" t="s">
        <v>1824</v>
      </c>
      <c r="F33" s="11" t="s">
        <v>208</v>
      </c>
      <c r="G33" s="11">
        <f t="shared" si="0"/>
        <v>4</v>
      </c>
      <c r="H33" s="12" t="s">
        <v>1889</v>
      </c>
    </row>
    <row r="34" spans="1:12" x14ac:dyDescent="0.3">
      <c r="A34" t="s">
        <v>1843</v>
      </c>
      <c r="B34" t="s">
        <v>1890</v>
      </c>
      <c r="C34" s="11" t="s">
        <v>1821</v>
      </c>
      <c r="D34" s="11" t="s">
        <v>1822</v>
      </c>
      <c r="E34" s="11" t="s">
        <v>1824</v>
      </c>
      <c r="F34" s="11" t="s">
        <v>208</v>
      </c>
      <c r="G34" s="11">
        <f t="shared" si="0"/>
        <v>4</v>
      </c>
      <c r="H34" s="12" t="s">
        <v>1431</v>
      </c>
      <c r="I34" t="str">
        <f>'FYI - Territoire'!A108</f>
        <v>3.Te.16</v>
      </c>
    </row>
    <row r="35" spans="1:12" ht="15.6" x14ac:dyDescent="0.3">
      <c r="A35" t="s">
        <v>1891</v>
      </c>
      <c r="B35" s="14" t="s">
        <v>1892</v>
      </c>
      <c r="C35" s="11" t="s">
        <v>1821</v>
      </c>
      <c r="D35" s="11" t="s">
        <v>1822</v>
      </c>
      <c r="E35" s="11" t="s">
        <v>1824</v>
      </c>
      <c r="F35" s="11" t="s">
        <v>208</v>
      </c>
      <c r="G35" s="11">
        <f t="shared" si="0"/>
        <v>4</v>
      </c>
      <c r="H35" s="12" t="s">
        <v>1225</v>
      </c>
      <c r="I35" t="str">
        <f>'FYI - Territoire'!A22</f>
        <v>4.Te.24</v>
      </c>
      <c r="J35" t="str">
        <f>'FYI - Territoire'!A106</f>
        <v>3.Te.14</v>
      </c>
    </row>
    <row r="36" spans="1:12" ht="15.6" x14ac:dyDescent="0.3">
      <c r="A36" t="s">
        <v>1851</v>
      </c>
      <c r="B36" s="14" t="s">
        <v>1893</v>
      </c>
      <c r="C36" s="11" t="s">
        <v>1827</v>
      </c>
      <c r="D36" s="11" t="s">
        <v>1845</v>
      </c>
      <c r="E36" s="11" t="s">
        <v>813</v>
      </c>
      <c r="F36" s="11" t="s">
        <v>208</v>
      </c>
      <c r="G36" s="11">
        <f t="shared" si="0"/>
        <v>4</v>
      </c>
      <c r="H36" s="12" t="s">
        <v>305</v>
      </c>
      <c r="I36" t="str">
        <f>Admin_2024!A3</f>
        <v>8.Ad.3</v>
      </c>
    </row>
    <row r="37" spans="1:12" x14ac:dyDescent="0.3">
      <c r="A37" t="s">
        <v>1843</v>
      </c>
      <c r="B37" t="s">
        <v>1894</v>
      </c>
      <c r="C37" s="11" t="s">
        <v>1827</v>
      </c>
      <c r="D37" s="11" t="s">
        <v>1845</v>
      </c>
      <c r="E37" s="11" t="s">
        <v>1824</v>
      </c>
      <c r="F37" s="11" t="s">
        <v>208</v>
      </c>
      <c r="G37" s="11">
        <f t="shared" si="0"/>
        <v>4</v>
      </c>
      <c r="H37" s="12" t="s">
        <v>1168</v>
      </c>
      <c r="I37" t="str">
        <f>'FYI - Territoire'!A3</f>
        <v>4.Te.1</v>
      </c>
      <c r="J37" t="str">
        <f>'FYI - Territoire'!A10</f>
        <v>4.Te.8</v>
      </c>
      <c r="K37" t="e">
        <f>'FYI - Territoire'!#REF!</f>
        <v>#REF!</v>
      </c>
    </row>
    <row r="38" spans="1:12" x14ac:dyDescent="0.3">
      <c r="A38" t="s">
        <v>1843</v>
      </c>
      <c r="B38" t="s">
        <v>1895</v>
      </c>
      <c r="C38" s="11" t="s">
        <v>1827</v>
      </c>
      <c r="D38" s="11" t="s">
        <v>1845</v>
      </c>
      <c r="E38" s="11" t="s">
        <v>1824</v>
      </c>
      <c r="F38" s="11" t="s">
        <v>208</v>
      </c>
      <c r="G38" s="11">
        <f t="shared" si="0"/>
        <v>4</v>
      </c>
      <c r="H38" s="12" t="s">
        <v>1180</v>
      </c>
      <c r="I38" t="str">
        <f>'FYI - Territoire'!A7</f>
        <v>4.Te.5</v>
      </c>
      <c r="J38" t="str">
        <f>'FYI - Territoire'!A12</f>
        <v>4.Te.10</v>
      </c>
      <c r="K38" t="str">
        <f>'FYI - Territoire'!A14</f>
        <v>4.Te.12</v>
      </c>
      <c r="L38" t="e">
        <f>'FYI - Territoire'!#REF!</f>
        <v>#REF!</v>
      </c>
    </row>
    <row r="39" spans="1:12" ht="31.2" x14ac:dyDescent="0.3">
      <c r="A39" t="s">
        <v>1843</v>
      </c>
      <c r="B39" s="14" t="s">
        <v>1896</v>
      </c>
      <c r="C39" s="11" t="s">
        <v>1827</v>
      </c>
      <c r="D39" s="11" t="s">
        <v>1845</v>
      </c>
      <c r="E39" s="11" t="s">
        <v>1824</v>
      </c>
      <c r="F39" s="11" t="s">
        <v>208</v>
      </c>
      <c r="G39" s="11">
        <f t="shared" si="0"/>
        <v>4</v>
      </c>
      <c r="H39" s="12" t="s">
        <v>1177</v>
      </c>
      <c r="I39" t="e">
        <f>Admin_2024!#REF!</f>
        <v>#REF!</v>
      </c>
      <c r="J39" t="str">
        <f>'FYI - Territoire'!A6</f>
        <v>4.Te.4</v>
      </c>
    </row>
    <row r="40" spans="1:12" ht="15.6" x14ac:dyDescent="0.3">
      <c r="A40" t="s">
        <v>1851</v>
      </c>
      <c r="B40" s="14" t="s">
        <v>1897</v>
      </c>
      <c r="C40" s="11" t="s">
        <v>1834</v>
      </c>
      <c r="D40" s="11" t="s">
        <v>1898</v>
      </c>
      <c r="E40" s="11" t="s">
        <v>813</v>
      </c>
      <c r="F40" s="11" t="s">
        <v>208</v>
      </c>
      <c r="G40" s="11">
        <f t="shared" si="0"/>
        <v>4</v>
      </c>
      <c r="H40" s="12" t="s">
        <v>1899</v>
      </c>
      <c r="I40" s="102"/>
    </row>
    <row r="41" spans="1:12" ht="15.6" x14ac:dyDescent="0.3">
      <c r="A41" t="s">
        <v>1851</v>
      </c>
      <c r="B41" s="14" t="s">
        <v>1900</v>
      </c>
      <c r="C41" s="11" t="s">
        <v>1834</v>
      </c>
      <c r="D41" s="11" t="s">
        <v>1898</v>
      </c>
      <c r="E41" s="11" t="s">
        <v>813</v>
      </c>
      <c r="F41" s="11" t="s">
        <v>208</v>
      </c>
      <c r="G41" s="11">
        <f t="shared" si="0"/>
        <v>4</v>
      </c>
      <c r="H41" s="12" t="s">
        <v>228</v>
      </c>
      <c r="I41">
        <f>Admin_2024!A4</f>
        <v>0</v>
      </c>
      <c r="J41" t="str">
        <f>Admin_2024!A7</f>
        <v>8.Ad.6</v>
      </c>
      <c r="K41" t="str">
        <f>Admin_2024!A13</f>
        <v>3.Ad.2</v>
      </c>
      <c r="L41" t="str">
        <f>Admin_2024!A19</f>
        <v>3.Ad.11</v>
      </c>
    </row>
    <row r="42" spans="1:12" ht="93.6" x14ac:dyDescent="0.3">
      <c r="A42" t="s">
        <v>1851</v>
      </c>
      <c r="B42" s="17" t="s">
        <v>1901</v>
      </c>
      <c r="C42" s="11" t="s">
        <v>1830</v>
      </c>
      <c r="D42" s="11" t="s">
        <v>1853</v>
      </c>
      <c r="E42" s="11" t="s">
        <v>813</v>
      </c>
      <c r="F42" s="11" t="s">
        <v>208</v>
      </c>
      <c r="G42" s="11">
        <f t="shared" si="0"/>
        <v>4</v>
      </c>
      <c r="H42" s="12" t="s">
        <v>245</v>
      </c>
      <c r="I42" t="str">
        <f>Admin_2024!A14</f>
        <v>3.Ad.3</v>
      </c>
      <c r="J42" t="str">
        <f>Admin_2024!A16</f>
        <v>3.Ad.7</v>
      </c>
      <c r="K42" t="str">
        <f>Admin_2024!A17</f>
        <v>3.Ad.8</v>
      </c>
    </row>
    <row r="43" spans="1:12" ht="31.2" x14ac:dyDescent="0.3">
      <c r="A43" t="s">
        <v>1851</v>
      </c>
      <c r="B43" s="14" t="s">
        <v>1902</v>
      </c>
      <c r="C43" s="11" t="s">
        <v>1830</v>
      </c>
      <c r="D43" s="11" t="s">
        <v>1853</v>
      </c>
      <c r="E43" s="11" t="s">
        <v>813</v>
      </c>
      <c r="F43" s="11" t="s">
        <v>208</v>
      </c>
      <c r="G43" s="11">
        <f t="shared" si="0"/>
        <v>4</v>
      </c>
      <c r="H43" s="12" t="s">
        <v>124</v>
      </c>
      <c r="I43" t="str">
        <f>Admin_2024!A23</f>
        <v>7.Ad.5</v>
      </c>
      <c r="J43" t="str">
        <f>Admin_2024!A71</f>
        <v>6.Ad.18</v>
      </c>
    </row>
    <row r="44" spans="1:12" ht="15.6" x14ac:dyDescent="0.3">
      <c r="A44" t="s">
        <v>1851</v>
      </c>
      <c r="B44" s="14" t="s">
        <v>1903</v>
      </c>
      <c r="C44" s="11" t="s">
        <v>1830</v>
      </c>
      <c r="D44" s="11" t="s">
        <v>1853</v>
      </c>
      <c r="E44" s="11" t="s">
        <v>813</v>
      </c>
      <c r="F44" s="11" t="s">
        <v>208</v>
      </c>
      <c r="G44" s="11">
        <f t="shared" si="0"/>
        <v>4</v>
      </c>
      <c r="H44" s="12" t="s">
        <v>1904</v>
      </c>
    </row>
    <row r="45" spans="1:12" ht="15.6" x14ac:dyDescent="0.3">
      <c r="A45" t="s">
        <v>1851</v>
      </c>
      <c r="B45" s="14" t="s">
        <v>1905</v>
      </c>
      <c r="C45" s="11" t="s">
        <v>1830</v>
      </c>
      <c r="D45" s="11" t="s">
        <v>1853</v>
      </c>
      <c r="E45" s="11" t="s">
        <v>813</v>
      </c>
      <c r="F45" s="11" t="s">
        <v>208</v>
      </c>
      <c r="G45" s="11">
        <f t="shared" si="0"/>
        <v>4</v>
      </c>
      <c r="H45" s="12" t="s">
        <v>1906</v>
      </c>
    </row>
    <row r="46" spans="1:12" ht="15.6" x14ac:dyDescent="0.3">
      <c r="A46" t="s">
        <v>1851</v>
      </c>
      <c r="B46" s="14" t="s">
        <v>1907</v>
      </c>
      <c r="C46" s="11" t="s">
        <v>1830</v>
      </c>
      <c r="D46" s="11" t="s">
        <v>1853</v>
      </c>
      <c r="E46" s="11" t="s">
        <v>813</v>
      </c>
      <c r="F46" s="11" t="s">
        <v>208</v>
      </c>
      <c r="G46" s="11">
        <f t="shared" si="0"/>
        <v>4</v>
      </c>
      <c r="H46" s="12" t="s">
        <v>1908</v>
      </c>
    </row>
    <row r="47" spans="1:12" ht="15.6" x14ac:dyDescent="0.3">
      <c r="A47" t="s">
        <v>1851</v>
      </c>
      <c r="B47" s="14" t="s">
        <v>1909</v>
      </c>
      <c r="C47" s="11" t="s">
        <v>1830</v>
      </c>
      <c r="D47" s="11" t="s">
        <v>1853</v>
      </c>
      <c r="E47" s="11" t="s">
        <v>813</v>
      </c>
      <c r="F47" s="11" t="s">
        <v>208</v>
      </c>
      <c r="G47" s="11">
        <f t="shared" si="0"/>
        <v>4</v>
      </c>
      <c r="H47" s="12" t="s">
        <v>1910</v>
      </c>
    </row>
    <row r="48" spans="1:12" ht="15.6" x14ac:dyDescent="0.3">
      <c r="A48" t="s">
        <v>1843</v>
      </c>
      <c r="B48" s="14" t="s">
        <v>1911</v>
      </c>
      <c r="C48" s="11" t="s">
        <v>1830</v>
      </c>
      <c r="D48" s="11" t="s">
        <v>1853</v>
      </c>
      <c r="E48" s="11" t="s">
        <v>1824</v>
      </c>
      <c r="F48" s="11" t="s">
        <v>208</v>
      </c>
      <c r="G48" s="11">
        <f t="shared" si="0"/>
        <v>4</v>
      </c>
      <c r="H48" s="12" t="s">
        <v>1912</v>
      </c>
      <c r="I48" t="str">
        <f>'FYI - Territoire'!A16</f>
        <v>4.Te.14</v>
      </c>
    </row>
    <row r="49" spans="1:13" ht="15.6" x14ac:dyDescent="0.3">
      <c r="A49" t="s">
        <v>1843</v>
      </c>
      <c r="B49" s="14" t="s">
        <v>1913</v>
      </c>
      <c r="C49" s="11" t="s">
        <v>1830</v>
      </c>
      <c r="D49" s="11" t="s">
        <v>1853</v>
      </c>
      <c r="E49" s="11" t="s">
        <v>1824</v>
      </c>
      <c r="F49" s="11" t="s">
        <v>208</v>
      </c>
      <c r="G49" s="11">
        <f t="shared" si="0"/>
        <v>4</v>
      </c>
      <c r="H49" s="12" t="s">
        <v>1914</v>
      </c>
    </row>
    <row r="50" spans="1:13" ht="15.6" x14ac:dyDescent="0.3">
      <c r="A50" t="s">
        <v>1915</v>
      </c>
      <c r="B50" s="10" t="s">
        <v>1916</v>
      </c>
      <c r="C50" s="11" t="s">
        <v>1821</v>
      </c>
      <c r="D50" s="11" t="s">
        <v>1822</v>
      </c>
      <c r="E50" s="11" t="s">
        <v>813</v>
      </c>
      <c r="F50" s="11" t="s">
        <v>346</v>
      </c>
      <c r="G50" s="11">
        <f t="shared" si="0"/>
        <v>6</v>
      </c>
      <c r="H50" s="12" t="s">
        <v>1585</v>
      </c>
      <c r="I50" t="e">
        <f>Admin_2024!#REF!</f>
        <v>#REF!</v>
      </c>
      <c r="J50" t="str">
        <f>'FYI - Territoire'!A163</f>
        <v>6.Te.6</v>
      </c>
    </row>
    <row r="51" spans="1:13" ht="15.6" x14ac:dyDescent="0.3">
      <c r="A51" t="s">
        <v>592</v>
      </c>
      <c r="B51" s="10" t="s">
        <v>1917</v>
      </c>
      <c r="C51" s="11" t="s">
        <v>1821</v>
      </c>
      <c r="D51" s="11" t="s">
        <v>1822</v>
      </c>
      <c r="E51" s="11" t="s">
        <v>813</v>
      </c>
      <c r="F51" s="11" t="s">
        <v>346</v>
      </c>
      <c r="G51" s="11">
        <f t="shared" si="0"/>
        <v>6</v>
      </c>
      <c r="H51" s="12" t="s">
        <v>1918</v>
      </c>
    </row>
    <row r="52" spans="1:13" ht="15.6" x14ac:dyDescent="0.3">
      <c r="A52" t="s">
        <v>592</v>
      </c>
      <c r="B52" s="10" t="s">
        <v>1919</v>
      </c>
      <c r="C52" s="11" t="s">
        <v>1821</v>
      </c>
      <c r="D52" s="11" t="s">
        <v>1822</v>
      </c>
      <c r="E52" s="11" t="s">
        <v>813</v>
      </c>
      <c r="F52" s="11" t="s">
        <v>346</v>
      </c>
      <c r="G52" s="11">
        <f t="shared" si="0"/>
        <v>6</v>
      </c>
      <c r="H52" s="12" t="s">
        <v>1920</v>
      </c>
    </row>
    <row r="53" spans="1:13" ht="15.6" x14ac:dyDescent="0.3">
      <c r="A53" t="s">
        <v>1921</v>
      </c>
      <c r="B53" s="10" t="s">
        <v>1922</v>
      </c>
      <c r="C53" s="11" t="s">
        <v>1821</v>
      </c>
      <c r="D53" s="11" t="s">
        <v>1822</v>
      </c>
      <c r="E53" s="11" t="s">
        <v>813</v>
      </c>
      <c r="F53" s="11" t="s">
        <v>346</v>
      </c>
      <c r="G53" s="11">
        <f t="shared" si="0"/>
        <v>6</v>
      </c>
      <c r="H53" s="12" t="s">
        <v>393</v>
      </c>
      <c r="I53" t="e">
        <f>Admin_2024!#REF!</f>
        <v>#REF!</v>
      </c>
      <c r="J53" t="e">
        <f>Admin_2024!#REF!</f>
        <v>#REF!</v>
      </c>
    </row>
    <row r="54" spans="1:13" ht="15.6" x14ac:dyDescent="0.3">
      <c r="A54" t="s">
        <v>1877</v>
      </c>
      <c r="B54" s="10" t="s">
        <v>1923</v>
      </c>
      <c r="C54" s="11" t="s">
        <v>1821</v>
      </c>
      <c r="D54" s="11" t="s">
        <v>1822</v>
      </c>
      <c r="E54" s="11" t="s">
        <v>813</v>
      </c>
      <c r="F54" s="11" t="s">
        <v>346</v>
      </c>
      <c r="G54" s="11">
        <f t="shared" si="0"/>
        <v>6</v>
      </c>
      <c r="H54" s="12" t="s">
        <v>1924</v>
      </c>
      <c r="I54" t="str">
        <f>Admin_2024!A105</f>
        <v>1.Ad.6</v>
      </c>
    </row>
    <row r="55" spans="1:13" ht="15.6" x14ac:dyDescent="0.3">
      <c r="A55" t="s">
        <v>1921</v>
      </c>
      <c r="B55" s="10" t="s">
        <v>1925</v>
      </c>
      <c r="C55" s="11" t="s">
        <v>1821</v>
      </c>
      <c r="D55" s="11" t="s">
        <v>1822</v>
      </c>
      <c r="E55" s="11" t="s">
        <v>1824</v>
      </c>
      <c r="F55" s="11" t="s">
        <v>346</v>
      </c>
      <c r="G55" s="11">
        <f t="shared" si="0"/>
        <v>6</v>
      </c>
      <c r="H55" s="12" t="s">
        <v>1926</v>
      </c>
    </row>
    <row r="56" spans="1:13" ht="15.6" x14ac:dyDescent="0.3">
      <c r="A56" t="s">
        <v>1915</v>
      </c>
      <c r="B56" s="10" t="s">
        <v>1927</v>
      </c>
      <c r="C56" s="11" t="s">
        <v>1834</v>
      </c>
      <c r="D56" s="11" t="s">
        <v>1898</v>
      </c>
      <c r="E56" s="11" t="s">
        <v>813</v>
      </c>
      <c r="F56" s="11" t="s">
        <v>346</v>
      </c>
      <c r="G56" s="11">
        <f t="shared" si="0"/>
        <v>6</v>
      </c>
      <c r="H56" s="12" t="s">
        <v>1928</v>
      </c>
    </row>
    <row r="57" spans="1:13" ht="15.6" x14ac:dyDescent="0.3">
      <c r="A57" t="s">
        <v>1921</v>
      </c>
      <c r="B57" s="10" t="s">
        <v>1929</v>
      </c>
      <c r="C57" s="11" t="s">
        <v>1830</v>
      </c>
      <c r="D57" s="11" t="s">
        <v>1853</v>
      </c>
      <c r="E57" s="11" t="s">
        <v>813</v>
      </c>
      <c r="F57" s="11" t="s">
        <v>346</v>
      </c>
      <c r="G57" s="11">
        <f t="shared" si="0"/>
        <v>6</v>
      </c>
      <c r="H57" s="12" t="s">
        <v>1653</v>
      </c>
      <c r="I57" t="str">
        <f>'FYI - Territoire'!A185</f>
        <v>7.Te.6</v>
      </c>
      <c r="J57" t="e">
        <f>Admin_2024!#REF!</f>
        <v>#REF!</v>
      </c>
    </row>
    <row r="58" spans="1:13" ht="15.6" x14ac:dyDescent="0.3">
      <c r="A58" t="s">
        <v>1915</v>
      </c>
      <c r="B58" s="10" t="s">
        <v>1930</v>
      </c>
      <c r="C58" s="11" t="s">
        <v>1830</v>
      </c>
      <c r="D58" s="11" t="s">
        <v>1853</v>
      </c>
      <c r="E58" s="11" t="s">
        <v>1824</v>
      </c>
      <c r="F58" s="11" t="s">
        <v>346</v>
      </c>
      <c r="G58" s="11">
        <f t="shared" si="0"/>
        <v>6</v>
      </c>
      <c r="H58" s="12" t="s">
        <v>1931</v>
      </c>
    </row>
    <row r="59" spans="1:13" ht="15.6" x14ac:dyDescent="0.3">
      <c r="A59" t="s">
        <v>1921</v>
      </c>
      <c r="B59" s="10" t="s">
        <v>1932</v>
      </c>
      <c r="C59" s="11" t="s">
        <v>1830</v>
      </c>
      <c r="D59" s="11" t="s">
        <v>1853</v>
      </c>
      <c r="E59" s="11" t="s">
        <v>1824</v>
      </c>
      <c r="F59" s="11" t="s">
        <v>346</v>
      </c>
      <c r="G59" s="11">
        <f t="shared" si="0"/>
        <v>6</v>
      </c>
      <c r="H59" s="12" t="s">
        <v>418</v>
      </c>
      <c r="I59" t="str">
        <f>'FYI - Territoire'!A182</f>
        <v>7.Te.3</v>
      </c>
      <c r="J59">
        <f>Admin_2024!A100</f>
        <v>0</v>
      </c>
      <c r="K59">
        <f>Admin_2024!A101</f>
        <v>0</v>
      </c>
      <c r="L59" t="str">
        <f>'FYI - Territoire'!A162</f>
        <v>6.Te.4</v>
      </c>
    </row>
    <row r="60" spans="1:13" ht="15.6" x14ac:dyDescent="0.3">
      <c r="A60" t="s">
        <v>1921</v>
      </c>
      <c r="B60" s="10" t="s">
        <v>1933</v>
      </c>
      <c r="C60" s="11" t="s">
        <v>1830</v>
      </c>
      <c r="D60" s="11" t="s">
        <v>1853</v>
      </c>
      <c r="E60" s="11" t="s">
        <v>1824</v>
      </c>
      <c r="F60" s="11" t="s">
        <v>346</v>
      </c>
      <c r="G60" s="11">
        <f t="shared" si="0"/>
        <v>6</v>
      </c>
      <c r="H60" s="12" t="s">
        <v>1934</v>
      </c>
      <c r="I60" t="e">
        <f>'FYI - Territoire'!#REF!</f>
        <v>#REF!</v>
      </c>
      <c r="J60" t="str">
        <f>'FYI - Territoire'!A165</f>
        <v>6.Te.8</v>
      </c>
    </row>
    <row r="61" spans="1:13" ht="15.6" x14ac:dyDescent="0.3">
      <c r="A61" t="s">
        <v>592</v>
      </c>
      <c r="B61" s="18" t="s">
        <v>1935</v>
      </c>
      <c r="C61" s="11" t="s">
        <v>1821</v>
      </c>
      <c r="D61" s="11" t="s">
        <v>1822</v>
      </c>
      <c r="E61" s="11" t="s">
        <v>813</v>
      </c>
      <c r="F61" s="11" t="s">
        <v>1275</v>
      </c>
      <c r="G61" s="11">
        <f t="shared" si="0"/>
        <v>1</v>
      </c>
      <c r="H61" s="12" t="s">
        <v>502</v>
      </c>
      <c r="I61" t="e">
        <f>Admin_2024!#REF!</f>
        <v>#REF!</v>
      </c>
      <c r="J61" t="str">
        <f>'FYI - Territoire'!A43</f>
        <v>1.Te.3</v>
      </c>
      <c r="K61" t="e">
        <f>'FYI - Territoire'!#REF!</f>
        <v>#REF!</v>
      </c>
      <c r="L61" t="str">
        <f>'FYI - Territoire'!A49</f>
        <v>1.Te.11</v>
      </c>
      <c r="M61" t="str">
        <f>'FYI - Territoire'!A54</f>
        <v>1.Te.16</v>
      </c>
    </row>
    <row r="62" spans="1:13" ht="15.6" x14ac:dyDescent="0.3">
      <c r="A62" t="s">
        <v>1936</v>
      </c>
      <c r="B62" s="18" t="s">
        <v>1937</v>
      </c>
      <c r="C62" s="11" t="s">
        <v>1821</v>
      </c>
      <c r="D62" s="11" t="s">
        <v>1822</v>
      </c>
      <c r="E62" s="11" t="s">
        <v>1824</v>
      </c>
      <c r="F62" s="11" t="s">
        <v>1275</v>
      </c>
      <c r="G62" s="11">
        <f t="shared" si="0"/>
        <v>1</v>
      </c>
      <c r="H62" s="12" t="s">
        <v>1330</v>
      </c>
      <c r="I62" t="str">
        <f>'FYI - Territoire'!A62</f>
        <v>1.Te.25</v>
      </c>
      <c r="J62" t="str">
        <f>'FYI - Territoire'!A100</f>
        <v>3.Te.8</v>
      </c>
    </row>
    <row r="63" spans="1:13" ht="15.6" x14ac:dyDescent="0.3">
      <c r="A63" t="s">
        <v>1921</v>
      </c>
      <c r="B63" s="18" t="s">
        <v>1938</v>
      </c>
      <c r="C63" s="11" t="s">
        <v>1821</v>
      </c>
      <c r="D63" s="11" t="s">
        <v>1822</v>
      </c>
      <c r="E63" s="11" t="s">
        <v>1824</v>
      </c>
      <c r="F63" s="11" t="s">
        <v>1275</v>
      </c>
      <c r="G63" s="11">
        <f t="shared" si="0"/>
        <v>1</v>
      </c>
      <c r="H63" s="12" t="s">
        <v>1939</v>
      </c>
    </row>
    <row r="64" spans="1:13" ht="15.6" x14ac:dyDescent="0.3">
      <c r="A64" t="s">
        <v>1921</v>
      </c>
      <c r="B64" s="18" t="s">
        <v>1940</v>
      </c>
      <c r="C64" s="11" t="s">
        <v>1821</v>
      </c>
      <c r="D64" s="11" t="s">
        <v>1822</v>
      </c>
      <c r="E64" s="11" t="s">
        <v>1824</v>
      </c>
      <c r="F64" s="11" t="s">
        <v>1275</v>
      </c>
      <c r="G64" s="11">
        <f t="shared" si="0"/>
        <v>1</v>
      </c>
      <c r="H64" s="12" t="s">
        <v>541</v>
      </c>
      <c r="I64" t="str">
        <f>Admin_2024!A40</f>
        <v>4.Ad.9</v>
      </c>
    </row>
    <row r="65" spans="1:12" ht="15.6" x14ac:dyDescent="0.3">
      <c r="A65" t="s">
        <v>1921</v>
      </c>
      <c r="B65" s="18" t="s">
        <v>1941</v>
      </c>
      <c r="C65" s="11" t="s">
        <v>1821</v>
      </c>
      <c r="D65" s="11" t="s">
        <v>1822</v>
      </c>
      <c r="E65" s="11" t="s">
        <v>1824</v>
      </c>
      <c r="F65" s="11" t="s">
        <v>1275</v>
      </c>
      <c r="G65" s="11">
        <f t="shared" si="0"/>
        <v>1</v>
      </c>
      <c r="H65" s="12" t="s">
        <v>1942</v>
      </c>
    </row>
    <row r="66" spans="1:12" ht="15.6" x14ac:dyDescent="0.3">
      <c r="A66" t="s">
        <v>1921</v>
      </c>
      <c r="B66" s="18" t="s">
        <v>1943</v>
      </c>
      <c r="C66" s="11" t="s">
        <v>1821</v>
      </c>
      <c r="D66" s="11" t="s">
        <v>1822</v>
      </c>
      <c r="E66" s="11" t="s">
        <v>1824</v>
      </c>
      <c r="F66" s="11" t="s">
        <v>1275</v>
      </c>
      <c r="G66" s="11">
        <f t="shared" ref="G66:G103" si="1">VLOOKUP(F66,$P$2:$Q$11,2,FALSE)</f>
        <v>1</v>
      </c>
      <c r="H66" s="12" t="s">
        <v>554</v>
      </c>
      <c r="I66" t="str">
        <f>'FYI - Territoire'!A9</f>
        <v>4.Te.7</v>
      </c>
      <c r="J66" t="e">
        <f>Admin_2024!#REF!</f>
        <v>#REF!</v>
      </c>
    </row>
    <row r="67" spans="1:12" ht="15.6" x14ac:dyDescent="0.3">
      <c r="A67" t="s">
        <v>1921</v>
      </c>
      <c r="B67" s="18" t="s">
        <v>1944</v>
      </c>
      <c r="C67" s="11" t="s">
        <v>1821</v>
      </c>
      <c r="D67" s="11" t="s">
        <v>1822</v>
      </c>
      <c r="E67" s="11" t="s">
        <v>1824</v>
      </c>
      <c r="F67" s="11" t="s">
        <v>1275</v>
      </c>
      <c r="G67" s="11">
        <f t="shared" si="1"/>
        <v>1</v>
      </c>
      <c r="H67" s="12" t="s">
        <v>1945</v>
      </c>
    </row>
    <row r="68" spans="1:12" ht="15.6" x14ac:dyDescent="0.3">
      <c r="A68" t="s">
        <v>1921</v>
      </c>
      <c r="B68" s="18" t="s">
        <v>1946</v>
      </c>
      <c r="C68" s="11" t="s">
        <v>1821</v>
      </c>
      <c r="D68" s="11" t="s">
        <v>1822</v>
      </c>
      <c r="E68" s="11" t="s">
        <v>1824</v>
      </c>
      <c r="F68" s="11" t="s">
        <v>1275</v>
      </c>
      <c r="G68" s="11">
        <f t="shared" si="1"/>
        <v>1</v>
      </c>
      <c r="H68" s="12" t="s">
        <v>547</v>
      </c>
      <c r="I68" t="e">
        <f>Admin_2024!#REF!</f>
        <v>#REF!</v>
      </c>
      <c r="J68">
        <f>'FYI - Territoire'!A75</f>
        <v>0</v>
      </c>
      <c r="K68" t="str">
        <f>'FYI - Territoire'!A46</f>
        <v>1.Te.8</v>
      </c>
      <c r="L68" t="str">
        <f>'FYI - Territoire'!A53</f>
        <v>1.Te.15</v>
      </c>
    </row>
    <row r="69" spans="1:12" ht="15.6" x14ac:dyDescent="0.3">
      <c r="A69" t="s">
        <v>1921</v>
      </c>
      <c r="B69" s="18" t="s">
        <v>1947</v>
      </c>
      <c r="C69" s="11" t="s">
        <v>1830</v>
      </c>
      <c r="D69" s="11" t="s">
        <v>1853</v>
      </c>
      <c r="E69" s="11" t="s">
        <v>1824</v>
      </c>
      <c r="F69" s="11" t="s">
        <v>1275</v>
      </c>
      <c r="G69" s="11">
        <f t="shared" si="1"/>
        <v>1</v>
      </c>
      <c r="H69" s="12" t="s">
        <v>1338</v>
      </c>
      <c r="I69" t="str">
        <f>'FYI - Territoire'!A64</f>
        <v>1.Te.27</v>
      </c>
    </row>
    <row r="70" spans="1:12" ht="15.6" x14ac:dyDescent="0.3">
      <c r="A70" t="s">
        <v>1921</v>
      </c>
      <c r="B70" s="18" t="s">
        <v>1948</v>
      </c>
      <c r="C70" s="11" t="s">
        <v>1830</v>
      </c>
      <c r="D70" s="11" t="s">
        <v>1853</v>
      </c>
      <c r="E70" s="11" t="s">
        <v>1824</v>
      </c>
      <c r="F70" s="11" t="s">
        <v>1275</v>
      </c>
      <c r="G70" s="11">
        <f t="shared" si="1"/>
        <v>1</v>
      </c>
      <c r="H70" s="12" t="s">
        <v>1949</v>
      </c>
    </row>
    <row r="71" spans="1:12" ht="15.6" x14ac:dyDescent="0.3">
      <c r="A71" t="s">
        <v>1950</v>
      </c>
      <c r="B71" s="19" t="s">
        <v>1951</v>
      </c>
      <c r="C71" s="11" t="s">
        <v>1821</v>
      </c>
      <c r="D71" s="11" t="s">
        <v>1822</v>
      </c>
      <c r="E71" s="11" t="s">
        <v>813</v>
      </c>
      <c r="F71" s="11" t="s">
        <v>556</v>
      </c>
      <c r="G71" s="11">
        <f t="shared" si="1"/>
        <v>5</v>
      </c>
      <c r="H71" s="12" t="s">
        <v>566</v>
      </c>
      <c r="I71" t="e">
        <f>Admin_2024!#REF!</f>
        <v>#REF!</v>
      </c>
      <c r="J71" t="str">
        <f>'FYI - Territoire'!A122</f>
        <v>5.Te.10</v>
      </c>
    </row>
    <row r="72" spans="1:12" ht="15.6" x14ac:dyDescent="0.3">
      <c r="A72" t="s">
        <v>1950</v>
      </c>
      <c r="B72" s="19" t="s">
        <v>1952</v>
      </c>
      <c r="C72" s="11" t="s">
        <v>1821</v>
      </c>
      <c r="D72" s="11" t="s">
        <v>1822</v>
      </c>
      <c r="E72" s="11" t="s">
        <v>813</v>
      </c>
      <c r="F72" s="11" t="s">
        <v>556</v>
      </c>
      <c r="G72" s="11">
        <f t="shared" si="1"/>
        <v>5</v>
      </c>
      <c r="H72" s="12" t="s">
        <v>617</v>
      </c>
      <c r="I72" t="e">
        <f>Admin_2024!#REF!</f>
        <v>#REF!</v>
      </c>
      <c r="J72" t="str">
        <f>'FYI - Territoire'!A121</f>
        <v>5.Te.9</v>
      </c>
    </row>
    <row r="73" spans="1:12" ht="62.4" x14ac:dyDescent="0.3">
      <c r="A73" t="s">
        <v>1950</v>
      </c>
      <c r="B73" s="20" t="s">
        <v>1953</v>
      </c>
      <c r="C73" s="11" t="s">
        <v>1821</v>
      </c>
      <c r="D73" s="11" t="s">
        <v>1822</v>
      </c>
      <c r="E73" s="11" t="s">
        <v>813</v>
      </c>
      <c r="F73" s="11" t="s">
        <v>556</v>
      </c>
      <c r="G73" s="11">
        <f t="shared" si="1"/>
        <v>5</v>
      </c>
      <c r="H73" s="12" t="s">
        <v>1954</v>
      </c>
    </row>
    <row r="74" spans="1:12" ht="15.6" x14ac:dyDescent="0.3">
      <c r="A74" t="s">
        <v>1950</v>
      </c>
      <c r="B74" s="19" t="s">
        <v>1955</v>
      </c>
      <c r="C74" s="11" t="s">
        <v>1821</v>
      </c>
      <c r="D74" s="11" t="s">
        <v>1822</v>
      </c>
      <c r="E74" s="11" t="s">
        <v>813</v>
      </c>
      <c r="F74" s="11" t="s">
        <v>556</v>
      </c>
      <c r="G74" s="11">
        <f t="shared" si="1"/>
        <v>5</v>
      </c>
      <c r="H74" s="12" t="s">
        <v>1531</v>
      </c>
      <c r="I74" t="str">
        <f>'FYI - Territoire'!A147</f>
        <v>5.Te.38</v>
      </c>
    </row>
    <row r="75" spans="1:12" ht="15.6" x14ac:dyDescent="0.3">
      <c r="A75" t="s">
        <v>742</v>
      </c>
      <c r="B75" s="10" t="s">
        <v>1956</v>
      </c>
      <c r="C75" s="11" t="s">
        <v>1821</v>
      </c>
      <c r="D75" s="11" t="s">
        <v>1822</v>
      </c>
      <c r="E75" s="11" t="s">
        <v>813</v>
      </c>
      <c r="F75" s="11" t="s">
        <v>556</v>
      </c>
      <c r="G75" s="11">
        <f t="shared" si="1"/>
        <v>5</v>
      </c>
      <c r="H75" s="12" t="s">
        <v>1957</v>
      </c>
    </row>
    <row r="76" spans="1:12" ht="15.6" x14ac:dyDescent="0.3">
      <c r="A76" t="s">
        <v>742</v>
      </c>
      <c r="B76" s="10" t="s">
        <v>1958</v>
      </c>
      <c r="C76" s="11" t="s">
        <v>1821</v>
      </c>
      <c r="D76" s="11" t="s">
        <v>1822</v>
      </c>
      <c r="E76" s="11" t="s">
        <v>813</v>
      </c>
      <c r="F76" s="11" t="s">
        <v>556</v>
      </c>
      <c r="G76" s="11">
        <f t="shared" si="1"/>
        <v>5</v>
      </c>
      <c r="H76" s="12" t="s">
        <v>1959</v>
      </c>
    </row>
    <row r="77" spans="1:12" ht="15.6" x14ac:dyDescent="0.3">
      <c r="A77" t="s">
        <v>742</v>
      </c>
      <c r="B77" s="10" t="s">
        <v>1960</v>
      </c>
      <c r="C77" s="11" t="s">
        <v>1821</v>
      </c>
      <c r="D77" s="11" t="s">
        <v>1822</v>
      </c>
      <c r="E77" s="11" t="s">
        <v>813</v>
      </c>
      <c r="F77" s="11" t="s">
        <v>556</v>
      </c>
      <c r="G77" s="11">
        <f t="shared" si="1"/>
        <v>5</v>
      </c>
      <c r="H77" s="12" t="s">
        <v>1961</v>
      </c>
    </row>
    <row r="78" spans="1:12" ht="15.6" x14ac:dyDescent="0.3">
      <c r="A78" t="s">
        <v>1962</v>
      </c>
      <c r="B78" s="21" t="s">
        <v>1963</v>
      </c>
      <c r="C78" s="11" t="s">
        <v>1821</v>
      </c>
      <c r="D78" s="11" t="s">
        <v>1822</v>
      </c>
      <c r="E78" s="11" t="s">
        <v>813</v>
      </c>
      <c r="F78" s="11" t="s">
        <v>556</v>
      </c>
      <c r="G78" s="11">
        <f t="shared" si="1"/>
        <v>5</v>
      </c>
      <c r="H78" s="12" t="s">
        <v>1964</v>
      </c>
    </row>
    <row r="79" spans="1:12" ht="15.6" x14ac:dyDescent="0.3">
      <c r="A79" t="s">
        <v>1965</v>
      </c>
      <c r="B79" s="10" t="s">
        <v>1966</v>
      </c>
      <c r="C79" s="11" t="s">
        <v>1821</v>
      </c>
      <c r="D79" s="11" t="s">
        <v>1822</v>
      </c>
      <c r="E79" s="11" t="s">
        <v>1824</v>
      </c>
      <c r="F79" s="11" t="s">
        <v>556</v>
      </c>
      <c r="G79" s="11">
        <f t="shared" si="1"/>
        <v>5</v>
      </c>
      <c r="H79" s="12" t="s">
        <v>1967</v>
      </c>
    </row>
    <row r="80" spans="1:12" ht="15.6" x14ac:dyDescent="0.3">
      <c r="A80" t="s">
        <v>1965</v>
      </c>
      <c r="B80" s="10" t="s">
        <v>1968</v>
      </c>
      <c r="C80" s="11" t="s">
        <v>1821</v>
      </c>
      <c r="D80" s="11" t="s">
        <v>1822</v>
      </c>
      <c r="E80" s="11" t="s">
        <v>1824</v>
      </c>
      <c r="F80" s="11" t="s">
        <v>556</v>
      </c>
      <c r="G80" s="11">
        <f t="shared" si="1"/>
        <v>5</v>
      </c>
      <c r="H80" s="12" t="s">
        <v>1498</v>
      </c>
      <c r="I80" t="str">
        <f>'FYI - Territoire'!A135</f>
        <v>5.Te.24</v>
      </c>
    </row>
    <row r="81" spans="1:10" ht="15.6" x14ac:dyDescent="0.3">
      <c r="A81" t="s">
        <v>1965</v>
      </c>
      <c r="B81" s="10" t="s">
        <v>1969</v>
      </c>
      <c r="C81" s="11" t="s">
        <v>1821</v>
      </c>
      <c r="D81" s="11" t="s">
        <v>1822</v>
      </c>
      <c r="E81" s="11" t="s">
        <v>1824</v>
      </c>
      <c r="F81" s="11" t="s">
        <v>556</v>
      </c>
      <c r="G81" s="11">
        <f t="shared" si="1"/>
        <v>5</v>
      </c>
      <c r="H81" s="12" t="s">
        <v>1540</v>
      </c>
      <c r="I81" t="str">
        <f>'FYI - Territoire'!A150</f>
        <v>5.Te.41</v>
      </c>
    </row>
    <row r="82" spans="1:10" ht="15.6" x14ac:dyDescent="0.3">
      <c r="A82" t="s">
        <v>592</v>
      </c>
      <c r="B82" s="10" t="s">
        <v>1970</v>
      </c>
      <c r="C82" s="11" t="s">
        <v>1821</v>
      </c>
      <c r="D82" s="11" t="s">
        <v>1822</v>
      </c>
      <c r="E82" s="11" t="s">
        <v>1824</v>
      </c>
      <c r="F82" s="11" t="s">
        <v>556</v>
      </c>
      <c r="G82" s="11">
        <f t="shared" si="1"/>
        <v>5</v>
      </c>
      <c r="H82" s="12" t="s">
        <v>350</v>
      </c>
      <c r="I82" t="str">
        <f>'FYI - Territoire'!A144</f>
        <v>5.Te.34</v>
      </c>
    </row>
    <row r="83" spans="1:10" ht="15.6" x14ac:dyDescent="0.3">
      <c r="A83" t="s">
        <v>592</v>
      </c>
      <c r="B83" s="10" t="s">
        <v>1971</v>
      </c>
      <c r="C83" s="11" t="s">
        <v>1821</v>
      </c>
      <c r="D83" s="11" t="s">
        <v>1822</v>
      </c>
      <c r="E83" s="11" t="s">
        <v>1824</v>
      </c>
      <c r="F83" s="11" t="s">
        <v>556</v>
      </c>
      <c r="G83" s="11">
        <f t="shared" si="1"/>
        <v>5</v>
      </c>
      <c r="H83" s="12" t="s">
        <v>1972</v>
      </c>
    </row>
    <row r="84" spans="1:10" ht="15.6" x14ac:dyDescent="0.3">
      <c r="A84" t="s">
        <v>592</v>
      </c>
      <c r="B84" s="10" t="s">
        <v>1973</v>
      </c>
      <c r="C84" s="11" t="s">
        <v>1821</v>
      </c>
      <c r="D84" s="11" t="s">
        <v>1822</v>
      </c>
      <c r="E84" s="11" t="s">
        <v>1824</v>
      </c>
      <c r="F84" s="11" t="s">
        <v>556</v>
      </c>
      <c r="G84" s="11">
        <f t="shared" si="1"/>
        <v>5</v>
      </c>
      <c r="H84" s="12" t="s">
        <v>1483</v>
      </c>
      <c r="I84" t="str">
        <f>'FYI - Territoire'!A129</f>
        <v>5.Te.18</v>
      </c>
    </row>
    <row r="85" spans="1:10" ht="15.6" x14ac:dyDescent="0.3">
      <c r="A85" t="s">
        <v>1950</v>
      </c>
      <c r="B85" s="19" t="s">
        <v>1974</v>
      </c>
      <c r="C85" s="11" t="s">
        <v>1827</v>
      </c>
      <c r="D85" s="11" t="s">
        <v>1845</v>
      </c>
      <c r="E85" s="11" t="s">
        <v>813</v>
      </c>
      <c r="F85" s="11" t="s">
        <v>556</v>
      </c>
      <c r="G85" s="11">
        <f t="shared" si="1"/>
        <v>5</v>
      </c>
      <c r="H85" s="12" t="s">
        <v>581</v>
      </c>
      <c r="I85" t="e">
        <f>Admin_2024!#REF!</f>
        <v>#REF!</v>
      </c>
    </row>
    <row r="86" spans="1:10" ht="15.6" x14ac:dyDescent="0.3">
      <c r="A86" t="s">
        <v>1950</v>
      </c>
      <c r="B86" s="19" t="s">
        <v>1975</v>
      </c>
      <c r="C86" s="11" t="s">
        <v>1827</v>
      </c>
      <c r="D86" s="11" t="s">
        <v>1845</v>
      </c>
      <c r="E86" s="11" t="s">
        <v>813</v>
      </c>
      <c r="F86" s="11" t="s">
        <v>556</v>
      </c>
      <c r="G86" s="11">
        <f t="shared" si="1"/>
        <v>5</v>
      </c>
      <c r="H86" s="12" t="s">
        <v>1976</v>
      </c>
      <c r="I86" s="102"/>
    </row>
    <row r="87" spans="1:10" ht="15.6" x14ac:dyDescent="0.3">
      <c r="A87" t="s">
        <v>1965</v>
      </c>
      <c r="B87" s="10" t="s">
        <v>1977</v>
      </c>
      <c r="C87" s="11" t="s">
        <v>1834</v>
      </c>
      <c r="D87" s="11" t="s">
        <v>1898</v>
      </c>
      <c r="E87" s="11" t="s">
        <v>1824</v>
      </c>
      <c r="F87" s="11" t="s">
        <v>556</v>
      </c>
      <c r="G87" s="11">
        <f t="shared" si="1"/>
        <v>5</v>
      </c>
      <c r="H87" s="12" t="s">
        <v>1978</v>
      </c>
      <c r="I87" s="102"/>
    </row>
    <row r="88" spans="1:10" ht="15.6" x14ac:dyDescent="0.3">
      <c r="A88" t="s">
        <v>1965</v>
      </c>
      <c r="B88" s="10" t="s">
        <v>1979</v>
      </c>
      <c r="C88" s="11" t="s">
        <v>1834</v>
      </c>
      <c r="D88" s="11" t="s">
        <v>1898</v>
      </c>
      <c r="E88" s="11" t="s">
        <v>1824</v>
      </c>
      <c r="F88" s="11" t="s">
        <v>556</v>
      </c>
      <c r="G88" s="11">
        <f t="shared" si="1"/>
        <v>5</v>
      </c>
      <c r="H88" s="12" t="s">
        <v>1528</v>
      </c>
      <c r="I88" t="str">
        <f>Admin_2024!A80</f>
        <v>8.Ad.8</v>
      </c>
      <c r="J88" t="str">
        <f>'FYI - Territoire'!A146</f>
        <v>5.Te.36</v>
      </c>
    </row>
    <row r="89" spans="1:10" ht="15.6" x14ac:dyDescent="0.3">
      <c r="A89" t="s">
        <v>1950</v>
      </c>
      <c r="B89" s="19" t="s">
        <v>1980</v>
      </c>
      <c r="C89" s="11" t="s">
        <v>1830</v>
      </c>
      <c r="D89" s="11" t="s">
        <v>1853</v>
      </c>
      <c r="E89" s="11" t="s">
        <v>813</v>
      </c>
      <c r="F89" s="11" t="s">
        <v>556</v>
      </c>
      <c r="G89" s="11">
        <f t="shared" si="1"/>
        <v>5</v>
      </c>
      <c r="H89" s="12" t="s">
        <v>1981</v>
      </c>
    </row>
    <row r="90" spans="1:10" ht="15.6" x14ac:dyDescent="0.3">
      <c r="A90" t="s">
        <v>1950</v>
      </c>
      <c r="B90" s="19" t="s">
        <v>1982</v>
      </c>
      <c r="C90" s="11" t="s">
        <v>1830</v>
      </c>
      <c r="D90" s="11" t="s">
        <v>1853</v>
      </c>
      <c r="E90" s="11" t="s">
        <v>813</v>
      </c>
      <c r="F90" s="11" t="s">
        <v>556</v>
      </c>
      <c r="G90" s="11">
        <f t="shared" si="1"/>
        <v>5</v>
      </c>
      <c r="H90" s="12" t="s">
        <v>1479</v>
      </c>
      <c r="I90" t="e">
        <f>Admin_2024!#REF!</f>
        <v>#REF!</v>
      </c>
      <c r="J90" t="str">
        <f>'FYI - Territoire'!A128</f>
        <v>5.Te.17</v>
      </c>
    </row>
    <row r="91" spans="1:10" ht="15.6" x14ac:dyDescent="0.3">
      <c r="A91" t="s">
        <v>1950</v>
      </c>
      <c r="B91" s="19" t="s">
        <v>1983</v>
      </c>
      <c r="C91" s="11" t="s">
        <v>1830</v>
      </c>
      <c r="D91" s="11" t="s">
        <v>1853</v>
      </c>
      <c r="E91" s="11" t="s">
        <v>813</v>
      </c>
      <c r="F91" s="11" t="s">
        <v>556</v>
      </c>
      <c r="G91" s="11">
        <f t="shared" si="1"/>
        <v>5</v>
      </c>
      <c r="H91" s="12" t="s">
        <v>1524</v>
      </c>
      <c r="I91" t="str">
        <f>'FYI - Territoire'!A145</f>
        <v>5.Te.35</v>
      </c>
    </row>
    <row r="92" spans="1:10" ht="15.6" x14ac:dyDescent="0.3">
      <c r="A92" t="s">
        <v>742</v>
      </c>
      <c r="B92" s="10" t="s">
        <v>1984</v>
      </c>
      <c r="C92" s="11" t="s">
        <v>1830</v>
      </c>
      <c r="D92" s="11" t="s">
        <v>1853</v>
      </c>
      <c r="E92" s="11" t="s">
        <v>813</v>
      </c>
      <c r="F92" s="11" t="s">
        <v>556</v>
      </c>
      <c r="G92" s="11">
        <f t="shared" si="1"/>
        <v>5</v>
      </c>
      <c r="H92" s="12" t="s">
        <v>1985</v>
      </c>
      <c r="I92" t="str">
        <f>Admin_2024!A78</f>
        <v>6.Ad.12</v>
      </c>
      <c r="J92" t="str">
        <f>'FYI - Territoire'!A151</f>
        <v>5.Te.42</v>
      </c>
    </row>
    <row r="93" spans="1:10" ht="15.6" x14ac:dyDescent="0.3">
      <c r="A93" t="s">
        <v>1986</v>
      </c>
      <c r="B93" s="10" t="s">
        <v>1987</v>
      </c>
      <c r="C93" s="11" t="s">
        <v>1830</v>
      </c>
      <c r="D93" s="11" t="s">
        <v>1853</v>
      </c>
      <c r="E93" s="11" t="s">
        <v>813</v>
      </c>
      <c r="F93" s="11" t="s">
        <v>556</v>
      </c>
      <c r="G93" s="11">
        <f t="shared" si="1"/>
        <v>5</v>
      </c>
      <c r="H93" s="12" t="s">
        <v>1988</v>
      </c>
    </row>
    <row r="94" spans="1:10" ht="15.6" x14ac:dyDescent="0.3">
      <c r="A94" t="s">
        <v>1965</v>
      </c>
      <c r="B94" s="10" t="s">
        <v>1989</v>
      </c>
      <c r="C94" s="11" t="s">
        <v>1830</v>
      </c>
      <c r="D94" s="11" t="s">
        <v>1853</v>
      </c>
      <c r="E94" s="11" t="s">
        <v>1824</v>
      </c>
      <c r="F94" s="11" t="s">
        <v>556</v>
      </c>
      <c r="G94" s="11">
        <f t="shared" si="1"/>
        <v>5</v>
      </c>
      <c r="H94" s="12" t="s">
        <v>1450</v>
      </c>
      <c r="I94" t="str">
        <f>'FYI - Territoire'!A115</f>
        <v>5.Te.1</v>
      </c>
      <c r="J94" t="str">
        <f>'FYI - Territoire'!A131</f>
        <v>5.Te.20</v>
      </c>
    </row>
    <row r="95" spans="1:10" ht="15.6" x14ac:dyDescent="0.3">
      <c r="A95" t="s">
        <v>1965</v>
      </c>
      <c r="B95" s="10" t="s">
        <v>1990</v>
      </c>
      <c r="C95" s="11" t="s">
        <v>1830</v>
      </c>
      <c r="D95" s="11" t="s">
        <v>1853</v>
      </c>
      <c r="E95" s="11" t="s">
        <v>1824</v>
      </c>
      <c r="F95" s="11" t="s">
        <v>556</v>
      </c>
      <c r="G95" s="11">
        <f t="shared" si="1"/>
        <v>5</v>
      </c>
      <c r="H95" s="12" t="s">
        <v>1511</v>
      </c>
      <c r="I95" t="str">
        <f>'FYI - Territoire'!A140</f>
        <v>5.Te.29</v>
      </c>
      <c r="J95" t="str">
        <f>'FYI - Territoire'!A141</f>
        <v>5.Te.31</v>
      </c>
    </row>
    <row r="96" spans="1:10" ht="15.6" x14ac:dyDescent="0.3">
      <c r="A96" t="s">
        <v>1965</v>
      </c>
      <c r="B96" s="10" t="s">
        <v>1991</v>
      </c>
      <c r="C96" s="11" t="s">
        <v>1830</v>
      </c>
      <c r="D96" s="11" t="s">
        <v>1853</v>
      </c>
      <c r="E96" s="11" t="s">
        <v>1824</v>
      </c>
      <c r="F96" s="11" t="s">
        <v>556</v>
      </c>
      <c r="G96" s="11">
        <f t="shared" si="1"/>
        <v>5</v>
      </c>
      <c r="H96" s="12" t="s">
        <v>1992</v>
      </c>
    </row>
    <row r="97" spans="1:12" ht="15.6" x14ac:dyDescent="0.3">
      <c r="A97" t="s">
        <v>1965</v>
      </c>
      <c r="B97" s="10" t="s">
        <v>1993</v>
      </c>
      <c r="C97" s="11" t="s">
        <v>1830</v>
      </c>
      <c r="D97" s="11" t="s">
        <v>1853</v>
      </c>
      <c r="E97" s="11" t="s">
        <v>1824</v>
      </c>
      <c r="F97" s="11" t="s">
        <v>556</v>
      </c>
      <c r="G97" s="11">
        <f t="shared" si="1"/>
        <v>5</v>
      </c>
      <c r="H97" s="12" t="s">
        <v>1460</v>
      </c>
      <c r="I97" t="str">
        <f>Admin_2024!A76</f>
        <v>6.Ad.10</v>
      </c>
      <c r="J97" t="str">
        <f>'FYI - Territoire'!A118</f>
        <v>5.Te.4</v>
      </c>
      <c r="K97" t="str">
        <f>'FYI - Territoire'!A125</f>
        <v>5.Te.14</v>
      </c>
      <c r="L97" t="str">
        <f>'FYI - Territoire'!A143</f>
        <v>5.Te.33</v>
      </c>
    </row>
    <row r="98" spans="1:12" ht="15.6" x14ac:dyDescent="0.3">
      <c r="A98" t="s">
        <v>1965</v>
      </c>
      <c r="B98" s="10" t="s">
        <v>1994</v>
      </c>
      <c r="C98" s="11" t="s">
        <v>1830</v>
      </c>
      <c r="D98" s="11" t="s">
        <v>1853</v>
      </c>
      <c r="E98" s="11" t="s">
        <v>1824</v>
      </c>
      <c r="F98" s="11" t="s">
        <v>556</v>
      </c>
      <c r="G98" s="11">
        <f t="shared" si="1"/>
        <v>5</v>
      </c>
      <c r="H98" s="12" t="s">
        <v>1464</v>
      </c>
      <c r="I98" t="str">
        <f>'FYI - Territoire'!A119</f>
        <v>5.Te.5</v>
      </c>
      <c r="J98">
        <f>'FYI - Territoire'!A157</f>
        <v>0</v>
      </c>
    </row>
    <row r="99" spans="1:12" ht="15.6" x14ac:dyDescent="0.3">
      <c r="A99" t="s">
        <v>1965</v>
      </c>
      <c r="B99" s="10" t="s">
        <v>1995</v>
      </c>
      <c r="C99" s="11" t="s">
        <v>1830</v>
      </c>
      <c r="D99" s="11" t="s">
        <v>1853</v>
      </c>
      <c r="E99" s="11" t="s">
        <v>1824</v>
      </c>
      <c r="F99" s="11" t="s">
        <v>556</v>
      </c>
      <c r="G99" s="11">
        <f t="shared" si="1"/>
        <v>5</v>
      </c>
      <c r="H99" s="12" t="s">
        <v>1996</v>
      </c>
    </row>
    <row r="100" spans="1:12" ht="15.6" x14ac:dyDescent="0.3">
      <c r="A100" t="s">
        <v>1965</v>
      </c>
      <c r="B100" s="10" t="s">
        <v>1997</v>
      </c>
      <c r="C100" s="11" t="s">
        <v>1830</v>
      </c>
      <c r="D100" s="11" t="s">
        <v>1853</v>
      </c>
      <c r="E100" s="11" t="s">
        <v>1824</v>
      </c>
      <c r="F100" s="11" t="s">
        <v>556</v>
      </c>
      <c r="G100" s="11">
        <f t="shared" si="1"/>
        <v>5</v>
      </c>
      <c r="H100" s="12" t="s">
        <v>1454</v>
      </c>
      <c r="I100" t="str">
        <f>'FYI - Territoire'!A116</f>
        <v>5.Te.2</v>
      </c>
    </row>
    <row r="101" spans="1:12" ht="15.6" x14ac:dyDescent="0.3">
      <c r="A101" t="s">
        <v>1965</v>
      </c>
      <c r="B101" s="10" t="s">
        <v>1998</v>
      </c>
      <c r="C101" s="11" t="s">
        <v>1830</v>
      </c>
      <c r="D101" s="11" t="s">
        <v>1853</v>
      </c>
      <c r="E101" s="11" t="s">
        <v>1824</v>
      </c>
      <c r="F101" s="11" t="s">
        <v>556</v>
      </c>
      <c r="G101" s="11">
        <f t="shared" si="1"/>
        <v>5</v>
      </c>
      <c r="H101" s="12" t="s">
        <v>1467</v>
      </c>
      <c r="I101" t="str">
        <f>'FYI - Territoire'!A120</f>
        <v>5.Te.6</v>
      </c>
      <c r="J101" t="str">
        <f>'FYI - Territoire'!A126</f>
        <v>5.Te.15</v>
      </c>
      <c r="K101" t="str">
        <f>'FYI - Territoire'!A136</f>
        <v>5.Te.25</v>
      </c>
    </row>
    <row r="102" spans="1:12" ht="15.6" x14ac:dyDescent="0.3">
      <c r="A102" t="s">
        <v>1965</v>
      </c>
      <c r="B102" s="10" t="s">
        <v>1999</v>
      </c>
      <c r="C102" s="11" t="s">
        <v>1830</v>
      </c>
      <c r="D102" s="11" t="s">
        <v>1853</v>
      </c>
      <c r="E102" s="11" t="s">
        <v>1824</v>
      </c>
      <c r="F102" s="11" t="s">
        <v>556</v>
      </c>
      <c r="G102" s="11">
        <f t="shared" si="1"/>
        <v>5</v>
      </c>
      <c r="H102" s="12" t="s">
        <v>1472</v>
      </c>
      <c r="I102" t="str">
        <f>'FYI - Territoire'!A124</f>
        <v>5.Te.13</v>
      </c>
      <c r="J102" t="str">
        <f>'FYI - Territoire'!A139</f>
        <v>5.Te.28</v>
      </c>
    </row>
    <row r="103" spans="1:12" ht="15.6" x14ac:dyDescent="0.3">
      <c r="A103" t="s">
        <v>1965</v>
      </c>
      <c r="B103" s="10" t="s">
        <v>2000</v>
      </c>
      <c r="C103" s="11" t="s">
        <v>1830</v>
      </c>
      <c r="D103" s="11" t="s">
        <v>1853</v>
      </c>
      <c r="E103" s="11" t="s">
        <v>1824</v>
      </c>
      <c r="F103" s="11" t="s">
        <v>556</v>
      </c>
      <c r="G103" s="11">
        <f t="shared" si="1"/>
        <v>5</v>
      </c>
      <c r="H103" s="12" t="s">
        <v>2001</v>
      </c>
    </row>
    <row r="104" spans="1:12" x14ac:dyDescent="0.3">
      <c r="C104" s="11"/>
      <c r="D104" s="11"/>
      <c r="E104" s="11"/>
      <c r="F104" s="11"/>
      <c r="G104" s="11"/>
      <c r="H104" s="12"/>
    </row>
    <row r="105" spans="1:12" x14ac:dyDescent="0.3">
      <c r="C105" s="11"/>
      <c r="D105" s="11"/>
      <c r="E105" s="11"/>
      <c r="F105" s="11"/>
      <c r="G105" s="11"/>
      <c r="H105" s="12"/>
    </row>
    <row r="106" spans="1:12" x14ac:dyDescent="0.3">
      <c r="C106" s="11"/>
      <c r="D106" s="11"/>
      <c r="E106" s="11"/>
      <c r="F106" s="11"/>
      <c r="G106" s="11"/>
      <c r="H106" s="12"/>
    </row>
    <row r="107" spans="1:12" x14ac:dyDescent="0.3">
      <c r="C107" s="11"/>
      <c r="D107" s="11"/>
      <c r="E107" s="11"/>
      <c r="F107" s="11"/>
      <c r="G107" s="11"/>
      <c r="H107" s="12"/>
    </row>
    <row r="108" spans="1:12" x14ac:dyDescent="0.3">
      <c r="C108" s="11"/>
      <c r="D108" s="11"/>
      <c r="E108" s="11"/>
      <c r="F108" s="11"/>
      <c r="G108" s="11"/>
      <c r="H108" s="12"/>
    </row>
    <row r="109" spans="1:12" x14ac:dyDescent="0.3">
      <c r="C109" s="11"/>
      <c r="D109" s="11"/>
      <c r="E109" s="11"/>
      <c r="F109" s="11"/>
      <c r="G109" s="11"/>
      <c r="H109" s="12"/>
    </row>
    <row r="110" spans="1:12" x14ac:dyDescent="0.3">
      <c r="C110" s="11"/>
      <c r="D110" s="11"/>
      <c r="E110" s="11"/>
      <c r="F110" s="11"/>
      <c r="G110" s="11"/>
      <c r="H110" s="12"/>
    </row>
    <row r="111" spans="1:12" x14ac:dyDescent="0.3">
      <c r="C111" s="11"/>
      <c r="D111" s="11"/>
      <c r="E111" s="11"/>
      <c r="F111" s="11"/>
      <c r="G111" s="11"/>
      <c r="H111" s="12"/>
    </row>
    <row r="112" spans="1:12" x14ac:dyDescent="0.3">
      <c r="C112" s="11"/>
      <c r="D112" s="11"/>
      <c r="E112" s="11"/>
      <c r="F112" s="11"/>
      <c r="G112" s="11"/>
      <c r="H112" s="12"/>
    </row>
    <row r="113" spans="3:8" x14ac:dyDescent="0.3">
      <c r="C113" s="11"/>
      <c r="D113" s="11"/>
      <c r="E113" s="11"/>
      <c r="F113" s="11"/>
      <c r="G113" s="11"/>
      <c r="H113" s="12"/>
    </row>
    <row r="114" spans="3:8" x14ac:dyDescent="0.3">
      <c r="C114" s="11"/>
      <c r="D114" s="11"/>
      <c r="E114" s="11"/>
      <c r="F114" s="11"/>
      <c r="G114" s="11"/>
      <c r="H114" s="12"/>
    </row>
    <row r="115" spans="3:8" x14ac:dyDescent="0.3">
      <c r="C115" s="11"/>
      <c r="D115" s="11"/>
      <c r="E115" s="11"/>
      <c r="F115" s="11"/>
      <c r="G115" s="11"/>
      <c r="H115" s="12"/>
    </row>
    <row r="116" spans="3:8" x14ac:dyDescent="0.3">
      <c r="C116" s="11"/>
      <c r="D116" s="11"/>
      <c r="E116" s="11"/>
      <c r="F116" s="11"/>
      <c r="G116" s="11"/>
      <c r="H116" s="12"/>
    </row>
    <row r="117" spans="3:8" x14ac:dyDescent="0.3">
      <c r="C117" s="11"/>
      <c r="D117" s="11"/>
      <c r="E117" s="11"/>
      <c r="F117" s="11"/>
      <c r="G117" s="11"/>
      <c r="H117" s="12"/>
    </row>
    <row r="118" spans="3:8" x14ac:dyDescent="0.3">
      <c r="C118" s="11"/>
      <c r="D118" s="11"/>
      <c r="E118" s="11"/>
      <c r="F118" s="11"/>
      <c r="G118" s="11"/>
      <c r="H118" s="12"/>
    </row>
    <row r="119" spans="3:8" x14ac:dyDescent="0.3">
      <c r="C119" s="11"/>
      <c r="D119" s="11"/>
      <c r="E119" s="11"/>
      <c r="F119" s="11"/>
      <c r="G119" s="11"/>
      <c r="H119" s="12"/>
    </row>
    <row r="120" spans="3:8" x14ac:dyDescent="0.3">
      <c r="C120" s="11"/>
      <c r="D120" s="11"/>
      <c r="E120" s="11"/>
      <c r="F120" s="11"/>
      <c r="G120" s="11"/>
      <c r="H120" s="12"/>
    </row>
    <row r="121" spans="3:8" x14ac:dyDescent="0.3">
      <c r="C121" s="11"/>
      <c r="D121" s="11"/>
      <c r="E121" s="11"/>
      <c r="F121" s="11"/>
      <c r="G121" s="11"/>
      <c r="H121" s="12"/>
    </row>
    <row r="122" spans="3:8" x14ac:dyDescent="0.3">
      <c r="C122" s="11"/>
      <c r="D122" s="11"/>
      <c r="E122" s="11"/>
      <c r="F122" s="11"/>
      <c r="G122" s="11"/>
      <c r="H122" s="12"/>
    </row>
    <row r="123" spans="3:8" x14ac:dyDescent="0.3">
      <c r="C123" s="11"/>
      <c r="D123" s="11"/>
      <c r="E123" s="11"/>
      <c r="F123" s="11"/>
      <c r="G123" s="11"/>
      <c r="H123" s="12"/>
    </row>
    <row r="124" spans="3:8" x14ac:dyDescent="0.3">
      <c r="C124" s="11"/>
      <c r="D124" s="11"/>
      <c r="E124" s="11"/>
      <c r="F124" s="11"/>
      <c r="G124" s="11"/>
      <c r="H124" s="12"/>
    </row>
    <row r="125" spans="3:8" x14ac:dyDescent="0.3">
      <c r="C125" s="11"/>
      <c r="D125" s="11"/>
      <c r="E125" s="11"/>
      <c r="F125" s="11"/>
      <c r="G125" s="11"/>
      <c r="H125" s="12"/>
    </row>
    <row r="126" spans="3:8" x14ac:dyDescent="0.3">
      <c r="C126" s="11"/>
      <c r="D126" s="11"/>
      <c r="E126" s="11"/>
      <c r="F126" s="11"/>
      <c r="G126" s="11"/>
      <c r="H126" s="12"/>
    </row>
    <row r="127" spans="3:8" x14ac:dyDescent="0.3">
      <c r="C127" s="11"/>
      <c r="D127" s="11"/>
      <c r="E127" s="11"/>
      <c r="F127" s="11"/>
      <c r="G127" s="11"/>
      <c r="H127" s="12"/>
    </row>
    <row r="128" spans="3:8" x14ac:dyDescent="0.3">
      <c r="C128" s="11"/>
      <c r="D128" s="11"/>
      <c r="E128" s="11"/>
      <c r="F128" s="11"/>
      <c r="G128" s="11"/>
      <c r="H128" s="12"/>
    </row>
    <row r="129" spans="3:8" x14ac:dyDescent="0.3">
      <c r="C129" s="11"/>
      <c r="D129" s="11"/>
      <c r="E129" s="11"/>
      <c r="F129" s="11"/>
      <c r="G129" s="11"/>
      <c r="H129" s="12"/>
    </row>
    <row r="130" spans="3:8" x14ac:dyDescent="0.3">
      <c r="C130" s="11"/>
      <c r="D130" s="11"/>
      <c r="E130" s="11"/>
      <c r="F130" s="11"/>
      <c r="G130" s="11"/>
      <c r="H130" s="12"/>
    </row>
    <row r="131" spans="3:8" x14ac:dyDescent="0.3">
      <c r="C131" s="11"/>
      <c r="D131" s="11"/>
      <c r="E131" s="11"/>
      <c r="F131" s="11"/>
      <c r="G131" s="11"/>
      <c r="H131" s="12"/>
    </row>
    <row r="132" spans="3:8" x14ac:dyDescent="0.3">
      <c r="C132" s="11"/>
      <c r="D132" s="11"/>
      <c r="E132" s="11"/>
      <c r="F132" s="11"/>
      <c r="G132" s="11"/>
      <c r="H132" s="12"/>
    </row>
    <row r="133" spans="3:8" x14ac:dyDescent="0.3">
      <c r="C133" s="11"/>
      <c r="D133" s="11"/>
      <c r="E133" s="11"/>
      <c r="F133" s="11"/>
      <c r="G133" s="11"/>
      <c r="H133" s="12"/>
    </row>
    <row r="134" spans="3:8" x14ac:dyDescent="0.3">
      <c r="C134" s="11"/>
      <c r="D134" s="11"/>
      <c r="E134" s="11"/>
      <c r="F134" s="11"/>
      <c r="G134" s="11"/>
      <c r="H134" s="12"/>
    </row>
    <row r="135" spans="3:8" x14ac:dyDescent="0.3">
      <c r="C135" s="11"/>
      <c r="D135" s="11"/>
      <c r="E135" s="11"/>
      <c r="F135" s="11"/>
      <c r="G135" s="11"/>
      <c r="H135" s="12"/>
    </row>
    <row r="136" spans="3:8" x14ac:dyDescent="0.3">
      <c r="C136" s="11"/>
      <c r="D136" s="11"/>
      <c r="E136" s="11"/>
      <c r="F136" s="11"/>
      <c r="G136" s="11"/>
      <c r="H136" s="12"/>
    </row>
    <row r="137" spans="3:8" x14ac:dyDescent="0.3">
      <c r="C137" s="11"/>
      <c r="D137" s="11"/>
      <c r="E137" s="11"/>
      <c r="F137" s="11"/>
      <c r="G137" s="11"/>
      <c r="H137" s="12"/>
    </row>
    <row r="138" spans="3:8" x14ac:dyDescent="0.3">
      <c r="C138" s="11"/>
      <c r="D138" s="11"/>
      <c r="E138" s="11"/>
      <c r="F138" s="11"/>
      <c r="G138" s="11"/>
      <c r="H138" s="12"/>
    </row>
    <row r="139" spans="3:8" x14ac:dyDescent="0.3">
      <c r="C139" s="11"/>
      <c r="D139" s="11"/>
      <c r="E139" s="11"/>
      <c r="F139" s="11"/>
      <c r="G139" s="11"/>
      <c r="H139" s="12"/>
    </row>
    <row r="140" spans="3:8" x14ac:dyDescent="0.3">
      <c r="C140" s="11"/>
      <c r="D140" s="11"/>
      <c r="E140" s="11"/>
      <c r="F140" s="11"/>
      <c r="G140" s="11"/>
      <c r="H140" s="12"/>
    </row>
    <row r="141" spans="3:8" x14ac:dyDescent="0.3">
      <c r="C141" s="11"/>
      <c r="D141" s="11"/>
      <c r="E141" s="11"/>
      <c r="F141" s="11"/>
      <c r="G141" s="11"/>
      <c r="H141" s="12"/>
    </row>
    <row r="142" spans="3:8" x14ac:dyDescent="0.3">
      <c r="C142" s="11"/>
      <c r="D142" s="11"/>
      <c r="E142" s="11"/>
      <c r="F142" s="11"/>
      <c r="G142" s="11"/>
      <c r="H142" s="12"/>
    </row>
    <row r="143" spans="3:8" x14ac:dyDescent="0.3">
      <c r="C143" s="11"/>
      <c r="D143" s="11"/>
      <c r="E143" s="11"/>
      <c r="F143" s="11"/>
      <c r="G143" s="11"/>
      <c r="H143" s="12"/>
    </row>
    <row r="144" spans="3:8" x14ac:dyDescent="0.3">
      <c r="C144" s="11"/>
      <c r="D144" s="11"/>
      <c r="E144" s="11"/>
      <c r="F144" s="11"/>
      <c r="G144" s="11"/>
      <c r="H144" s="12"/>
    </row>
    <row r="145" spans="3:8" x14ac:dyDescent="0.3">
      <c r="C145" s="11"/>
      <c r="D145" s="11"/>
      <c r="E145" s="11"/>
      <c r="F145" s="11"/>
      <c r="G145" s="11"/>
      <c r="H145" s="12"/>
    </row>
    <row r="146" spans="3:8" x14ac:dyDescent="0.3">
      <c r="C146" s="11"/>
      <c r="D146" s="11"/>
      <c r="E146" s="11"/>
      <c r="F146" s="11"/>
      <c r="G146" s="11"/>
      <c r="H146" s="12"/>
    </row>
    <row r="147" spans="3:8" x14ac:dyDescent="0.3">
      <c r="C147" s="11"/>
      <c r="D147" s="11"/>
      <c r="E147" s="11"/>
      <c r="F147" s="11"/>
      <c r="G147" s="11"/>
      <c r="H147" s="12"/>
    </row>
    <row r="148" spans="3:8" x14ac:dyDescent="0.3">
      <c r="C148" s="11"/>
      <c r="D148" s="11"/>
      <c r="E148" s="11"/>
      <c r="F148" s="11"/>
      <c r="G148" s="11"/>
      <c r="H148" s="12"/>
    </row>
    <row r="149" spans="3:8" x14ac:dyDescent="0.3">
      <c r="C149" s="11"/>
      <c r="D149" s="11"/>
      <c r="E149" s="11"/>
      <c r="F149" s="11"/>
      <c r="G149" s="11"/>
      <c r="H149" s="12"/>
    </row>
    <row r="150" spans="3:8" x14ac:dyDescent="0.3">
      <c r="C150" s="11"/>
      <c r="D150" s="11"/>
      <c r="E150" s="11"/>
      <c r="F150" s="11"/>
      <c r="G150" s="11"/>
      <c r="H150" s="12"/>
    </row>
    <row r="151" spans="3:8" x14ac:dyDescent="0.3">
      <c r="C151" s="11"/>
      <c r="D151" s="11"/>
      <c r="E151" s="11"/>
      <c r="F151" s="11"/>
      <c r="G151" s="11"/>
      <c r="H151" s="12"/>
    </row>
    <row r="152" spans="3:8" x14ac:dyDescent="0.3">
      <c r="C152" s="11"/>
      <c r="D152" s="11"/>
      <c r="E152" s="11"/>
      <c r="F152" s="11"/>
      <c r="G152" s="11"/>
      <c r="H152" s="12"/>
    </row>
    <row r="153" spans="3:8" x14ac:dyDescent="0.3">
      <c r="C153" s="11"/>
      <c r="D153" s="11"/>
      <c r="E153" s="11"/>
      <c r="F153" s="11"/>
      <c r="G153" s="11"/>
      <c r="H153" s="12"/>
    </row>
    <row r="154" spans="3:8" x14ac:dyDescent="0.3">
      <c r="C154" s="11"/>
      <c r="D154" s="11"/>
      <c r="E154" s="11"/>
      <c r="F154" s="11"/>
      <c r="G154" s="11"/>
      <c r="H154" s="12"/>
    </row>
    <row r="155" spans="3:8" x14ac:dyDescent="0.3">
      <c r="C155" s="11"/>
      <c r="D155" s="11"/>
      <c r="E155" s="11"/>
      <c r="F155" s="11"/>
      <c r="G155" s="11"/>
      <c r="H155" s="12"/>
    </row>
    <row r="156" spans="3:8" x14ac:dyDescent="0.3">
      <c r="C156" s="11"/>
      <c r="D156" s="11"/>
      <c r="E156" s="11"/>
      <c r="F156" s="11"/>
      <c r="G156" s="11"/>
      <c r="H156" s="12"/>
    </row>
    <row r="157" spans="3:8" x14ac:dyDescent="0.3">
      <c r="C157" s="11"/>
      <c r="D157" s="11"/>
      <c r="E157" s="11"/>
      <c r="F157" s="11"/>
      <c r="G157" s="11"/>
      <c r="H157" s="12"/>
    </row>
    <row r="158" spans="3:8" x14ac:dyDescent="0.3">
      <c r="C158" s="11"/>
      <c r="D158" s="11"/>
      <c r="E158" s="11"/>
      <c r="F158" s="11"/>
      <c r="G158" s="11"/>
      <c r="H158" s="12"/>
    </row>
    <row r="159" spans="3:8" x14ac:dyDescent="0.3">
      <c r="C159" s="11"/>
      <c r="D159" s="11"/>
      <c r="E159" s="11"/>
      <c r="F159" s="11"/>
      <c r="G159" s="11"/>
      <c r="H159" s="12"/>
    </row>
    <row r="160" spans="3:8" x14ac:dyDescent="0.3">
      <c r="C160" s="11"/>
      <c r="D160" s="11"/>
      <c r="E160" s="11"/>
      <c r="F160" s="11"/>
      <c r="G160" s="11"/>
      <c r="H160" s="12"/>
    </row>
    <row r="161" spans="3:8" x14ac:dyDescent="0.3">
      <c r="C161" s="11"/>
      <c r="D161" s="11"/>
      <c r="E161" s="11"/>
      <c r="F161" s="11"/>
      <c r="G161" s="11"/>
      <c r="H161" s="12"/>
    </row>
    <row r="162" spans="3:8" x14ac:dyDescent="0.3">
      <c r="C162" s="11"/>
      <c r="D162" s="11"/>
      <c r="E162" s="11"/>
      <c r="F162" s="11"/>
      <c r="G162" s="11"/>
      <c r="H162" s="12"/>
    </row>
    <row r="163" spans="3:8" x14ac:dyDescent="0.3">
      <c r="C163" s="11"/>
      <c r="D163" s="11"/>
      <c r="E163" s="11"/>
      <c r="F163" s="11"/>
      <c r="G163" s="11"/>
      <c r="H163" s="12"/>
    </row>
    <row r="164" spans="3:8" x14ac:dyDescent="0.3">
      <c r="C164" s="11"/>
      <c r="D164" s="11"/>
      <c r="E164" s="11"/>
      <c r="F164" s="11"/>
      <c r="G164" s="11"/>
      <c r="H164" s="12"/>
    </row>
    <row r="165" spans="3:8" x14ac:dyDescent="0.3">
      <c r="C165" s="11"/>
      <c r="D165" s="11"/>
      <c r="E165" s="11"/>
      <c r="F165" s="11"/>
      <c r="G165" s="11"/>
      <c r="H165" s="12"/>
    </row>
    <row r="166" spans="3:8" x14ac:dyDescent="0.3">
      <c r="C166" s="11"/>
      <c r="D166" s="11"/>
      <c r="E166" s="11"/>
      <c r="F166" s="11"/>
      <c r="G166" s="11"/>
      <c r="H166" s="12"/>
    </row>
    <row r="167" spans="3:8" x14ac:dyDescent="0.3">
      <c r="C167" s="11"/>
      <c r="D167" s="11"/>
      <c r="E167" s="11"/>
      <c r="F167" s="11"/>
      <c r="G167" s="11"/>
      <c r="H167" s="12"/>
    </row>
    <row r="168" spans="3:8" x14ac:dyDescent="0.3">
      <c r="C168" s="11"/>
      <c r="D168" s="11"/>
      <c r="E168" s="11"/>
      <c r="F168" s="11"/>
      <c r="G168" s="11"/>
      <c r="H168" s="12"/>
    </row>
    <row r="169" spans="3:8" x14ac:dyDescent="0.3">
      <c r="C169" s="11"/>
      <c r="D169" s="11"/>
      <c r="E169" s="11"/>
      <c r="F169" s="11"/>
      <c r="G169" s="11"/>
      <c r="H169" s="12"/>
    </row>
    <row r="170" spans="3:8" x14ac:dyDescent="0.3">
      <c r="C170" s="11"/>
      <c r="D170" s="11"/>
      <c r="E170" s="11"/>
      <c r="F170" s="11"/>
      <c r="G170" s="11"/>
      <c r="H170" s="12"/>
    </row>
    <row r="171" spans="3:8" x14ac:dyDescent="0.3">
      <c r="C171" s="11"/>
      <c r="D171" s="11"/>
      <c r="E171" s="11"/>
      <c r="F171" s="11"/>
      <c r="G171" s="11"/>
      <c r="H171" s="12"/>
    </row>
    <row r="172" spans="3:8" x14ac:dyDescent="0.3">
      <c r="C172" s="11"/>
      <c r="D172" s="11"/>
      <c r="E172" s="11"/>
      <c r="F172" s="11"/>
      <c r="G172" s="11"/>
      <c r="H172" s="12"/>
    </row>
    <row r="173" spans="3:8" x14ac:dyDescent="0.3">
      <c r="C173" s="11"/>
      <c r="D173" s="11"/>
      <c r="E173" s="11"/>
      <c r="F173" s="11"/>
      <c r="G173" s="11"/>
      <c r="H173" s="12"/>
    </row>
    <row r="174" spans="3:8" x14ac:dyDescent="0.3">
      <c r="C174" s="11"/>
      <c r="D174" s="11"/>
      <c r="E174" s="11"/>
      <c r="F174" s="11"/>
      <c r="G174" s="11"/>
      <c r="H174" s="12"/>
    </row>
    <row r="175" spans="3:8" x14ac:dyDescent="0.3">
      <c r="C175" s="11"/>
      <c r="D175" s="11"/>
      <c r="E175" s="11"/>
      <c r="F175" s="11"/>
      <c r="G175" s="11"/>
      <c r="H175" s="12"/>
    </row>
    <row r="176" spans="3:8" x14ac:dyDescent="0.3">
      <c r="C176" s="11"/>
      <c r="D176" s="11"/>
      <c r="E176" s="11"/>
      <c r="F176" s="11"/>
      <c r="G176" s="11"/>
      <c r="H176" s="12"/>
    </row>
    <row r="177" spans="3:8" x14ac:dyDescent="0.3">
      <c r="C177" s="11"/>
      <c r="D177" s="11"/>
      <c r="E177" s="11"/>
      <c r="F177" s="11"/>
      <c r="G177" s="11"/>
      <c r="H177" s="12"/>
    </row>
    <row r="178" spans="3:8" x14ac:dyDescent="0.3">
      <c r="C178" s="11"/>
      <c r="D178" s="11"/>
      <c r="E178" s="11"/>
      <c r="F178" s="11"/>
      <c r="G178" s="11"/>
      <c r="H178" s="12"/>
    </row>
    <row r="179" spans="3:8" x14ac:dyDescent="0.3">
      <c r="C179" s="11"/>
      <c r="D179" s="11"/>
      <c r="E179" s="11"/>
      <c r="F179" s="11"/>
      <c r="G179" s="11"/>
      <c r="H179" s="12"/>
    </row>
    <row r="180" spans="3:8" x14ac:dyDescent="0.3">
      <c r="C180" s="11"/>
      <c r="D180" s="11"/>
      <c r="E180" s="11"/>
      <c r="F180" s="11"/>
      <c r="G180" s="11"/>
      <c r="H180" s="12"/>
    </row>
    <row r="181" spans="3:8" x14ac:dyDescent="0.3">
      <c r="C181" s="11"/>
      <c r="D181" s="11"/>
      <c r="E181" s="11"/>
      <c r="F181" s="11"/>
      <c r="G181" s="11"/>
      <c r="H181" s="12"/>
    </row>
    <row r="182" spans="3:8" x14ac:dyDescent="0.3">
      <c r="C182" s="11"/>
      <c r="D182" s="11"/>
      <c r="E182" s="11"/>
      <c r="F182" s="11"/>
      <c r="G182" s="11"/>
      <c r="H182" s="12"/>
    </row>
    <row r="183" spans="3:8" x14ac:dyDescent="0.3">
      <c r="C183" s="11"/>
      <c r="D183" s="11"/>
      <c r="E183" s="11"/>
      <c r="F183" s="11"/>
      <c r="G183" s="11"/>
      <c r="H183" s="12"/>
    </row>
    <row r="184" spans="3:8" x14ac:dyDescent="0.3">
      <c r="C184" s="11"/>
      <c r="D184" s="11"/>
      <c r="E184" s="11"/>
      <c r="F184" s="11"/>
      <c r="G184" s="11"/>
      <c r="H184" s="12"/>
    </row>
    <row r="185" spans="3:8" x14ac:dyDescent="0.3">
      <c r="C185" s="11"/>
      <c r="D185" s="11"/>
      <c r="E185" s="11"/>
      <c r="F185" s="11"/>
      <c r="G185" s="11"/>
      <c r="H185" s="12"/>
    </row>
    <row r="186" spans="3:8" x14ac:dyDescent="0.3">
      <c r="C186" s="11"/>
      <c r="D186" s="11"/>
      <c r="E186" s="11"/>
      <c r="F186" s="11"/>
      <c r="G186" s="11"/>
      <c r="H186" s="12"/>
    </row>
    <row r="187" spans="3:8" x14ac:dyDescent="0.3">
      <c r="C187" s="11"/>
      <c r="D187" s="11"/>
      <c r="E187" s="11"/>
      <c r="F187" s="11"/>
      <c r="G187" s="11"/>
      <c r="H187" s="12"/>
    </row>
    <row r="188" spans="3:8" x14ac:dyDescent="0.3">
      <c r="C188" s="11"/>
      <c r="D188" s="11"/>
      <c r="E188" s="11"/>
      <c r="F188" s="11"/>
      <c r="G188" s="11"/>
      <c r="H188" s="12"/>
    </row>
    <row r="189" spans="3:8" x14ac:dyDescent="0.3">
      <c r="C189" s="11"/>
      <c r="D189" s="11"/>
      <c r="E189" s="11"/>
      <c r="F189" s="11"/>
      <c r="G189" s="11"/>
      <c r="H189" s="12"/>
    </row>
    <row r="190" spans="3:8" x14ac:dyDescent="0.3">
      <c r="C190" s="11"/>
      <c r="D190" s="11"/>
      <c r="E190" s="11"/>
      <c r="F190" s="11"/>
      <c r="G190" s="11"/>
      <c r="H190" s="12"/>
    </row>
    <row r="191" spans="3:8" x14ac:dyDescent="0.3">
      <c r="C191" s="11"/>
      <c r="D191" s="11"/>
      <c r="E191" s="11"/>
      <c r="F191" s="11"/>
      <c r="G191" s="11"/>
      <c r="H191" s="12"/>
    </row>
    <row r="192" spans="3:8" x14ac:dyDescent="0.3">
      <c r="C192" s="11"/>
      <c r="D192" s="11"/>
      <c r="E192" s="11"/>
      <c r="F192" s="11"/>
      <c r="G192" s="11"/>
      <c r="H192" s="12"/>
    </row>
    <row r="193" spans="3:8" x14ac:dyDescent="0.3">
      <c r="C193" s="11"/>
      <c r="D193" s="11"/>
      <c r="E193" s="11"/>
      <c r="F193" s="11"/>
      <c r="G193" s="11"/>
      <c r="H193" s="12"/>
    </row>
    <row r="194" spans="3:8" x14ac:dyDescent="0.3">
      <c r="C194" s="11"/>
      <c r="D194" s="11"/>
      <c r="E194" s="11"/>
      <c r="F194" s="11"/>
      <c r="G194" s="11"/>
      <c r="H194" s="12"/>
    </row>
    <row r="195" spans="3:8" x14ac:dyDescent="0.3">
      <c r="C195" s="11"/>
      <c r="D195" s="11"/>
      <c r="E195" s="11"/>
      <c r="F195" s="11"/>
      <c r="G195" s="11"/>
      <c r="H195" s="12"/>
    </row>
    <row r="196" spans="3:8" x14ac:dyDescent="0.3">
      <c r="C196" s="11"/>
      <c r="D196" s="11"/>
      <c r="E196" s="11"/>
      <c r="F196" s="11"/>
      <c r="G196" s="11"/>
      <c r="H196" s="12"/>
    </row>
    <row r="197" spans="3:8" x14ac:dyDescent="0.3">
      <c r="C197" s="11"/>
      <c r="D197" s="11"/>
      <c r="E197" s="11"/>
      <c r="F197" s="11"/>
      <c r="G197" s="11"/>
      <c r="H197" s="12"/>
    </row>
    <row r="198" spans="3:8" x14ac:dyDescent="0.3">
      <c r="C198" s="11"/>
      <c r="D198" s="11"/>
      <c r="E198" s="11"/>
      <c r="F198" s="11"/>
      <c r="G198" s="11"/>
      <c r="H198" s="12"/>
    </row>
    <row r="199" spans="3:8" x14ac:dyDescent="0.3">
      <c r="C199" s="11"/>
      <c r="D199" s="11"/>
      <c r="E199" s="11"/>
      <c r="F199" s="11"/>
      <c r="G199" s="11"/>
      <c r="H199" s="12"/>
    </row>
    <row r="200" spans="3:8" x14ac:dyDescent="0.3">
      <c r="C200" s="11"/>
      <c r="D200" s="11"/>
      <c r="E200" s="11"/>
      <c r="F200" s="11"/>
      <c r="G200" s="11"/>
      <c r="H200" s="12"/>
    </row>
    <row r="201" spans="3:8" x14ac:dyDescent="0.3">
      <c r="C201" s="11"/>
      <c r="D201" s="11"/>
      <c r="E201" s="11"/>
      <c r="F201" s="11"/>
      <c r="G201" s="11"/>
      <c r="H201" s="12"/>
    </row>
    <row r="202" spans="3:8" x14ac:dyDescent="0.3">
      <c r="C202" s="11"/>
      <c r="D202" s="11"/>
      <c r="E202" s="11"/>
      <c r="F202" s="11"/>
      <c r="G202" s="11"/>
      <c r="H202" s="12"/>
    </row>
    <row r="203" spans="3:8" x14ac:dyDescent="0.3">
      <c r="C203" s="11"/>
      <c r="D203" s="11"/>
      <c r="E203" s="11"/>
      <c r="F203" s="11"/>
      <c r="G203" s="11"/>
      <c r="H203" s="12"/>
    </row>
    <row r="204" spans="3:8" x14ac:dyDescent="0.3">
      <c r="C204" s="11"/>
      <c r="D204" s="11"/>
      <c r="E204" s="11"/>
      <c r="F204" s="11"/>
      <c r="G204" s="11"/>
      <c r="H204" s="12"/>
    </row>
    <row r="205" spans="3:8" x14ac:dyDescent="0.3">
      <c r="C205" s="11"/>
      <c r="D205" s="11"/>
      <c r="E205" s="11"/>
      <c r="F205" s="11"/>
      <c r="G205" s="11"/>
      <c r="H205" s="12"/>
    </row>
    <row r="206" spans="3:8" x14ac:dyDescent="0.3">
      <c r="C206" s="11"/>
      <c r="D206" s="11"/>
      <c r="E206" s="11"/>
      <c r="F206" s="11"/>
      <c r="G206" s="11"/>
      <c r="H206" s="12"/>
    </row>
    <row r="207" spans="3:8" x14ac:dyDescent="0.3">
      <c r="C207" s="11"/>
      <c r="D207" s="11"/>
      <c r="E207" s="11"/>
      <c r="F207" s="11"/>
      <c r="G207" s="11"/>
      <c r="H207" s="12"/>
    </row>
    <row r="208" spans="3:8" x14ac:dyDescent="0.3">
      <c r="C208" s="11"/>
      <c r="D208" s="11"/>
      <c r="E208" s="11"/>
      <c r="F208" s="11"/>
      <c r="G208" s="11"/>
      <c r="H208" s="12"/>
    </row>
    <row r="209" spans="3:8" x14ac:dyDescent="0.3">
      <c r="C209" s="11"/>
      <c r="D209" s="11"/>
      <c r="E209" s="11"/>
      <c r="F209" s="11"/>
      <c r="G209" s="11"/>
      <c r="H209" s="12"/>
    </row>
    <row r="210" spans="3:8" x14ac:dyDescent="0.3">
      <c r="C210" s="11"/>
      <c r="D210" s="11"/>
      <c r="E210" s="11"/>
      <c r="F210" s="11"/>
      <c r="G210" s="11"/>
      <c r="H210" s="12"/>
    </row>
    <row r="211" spans="3:8" x14ac:dyDescent="0.3">
      <c r="C211" s="11"/>
      <c r="D211" s="11"/>
      <c r="E211" s="11"/>
      <c r="F211" s="11"/>
      <c r="G211" s="11"/>
      <c r="H211" s="12"/>
    </row>
    <row r="212" spans="3:8" x14ac:dyDescent="0.3">
      <c r="C212" s="11"/>
      <c r="D212" s="11"/>
      <c r="E212" s="11"/>
      <c r="F212" s="11"/>
      <c r="G212" s="11"/>
      <c r="H212" s="12"/>
    </row>
    <row r="213" spans="3:8" x14ac:dyDescent="0.3">
      <c r="C213" s="11"/>
      <c r="D213" s="11"/>
      <c r="E213" s="11"/>
      <c r="F213" s="11"/>
      <c r="G213" s="11"/>
      <c r="H213" s="12"/>
    </row>
    <row r="214" spans="3:8" x14ac:dyDescent="0.3">
      <c r="C214" s="11"/>
      <c r="D214" s="11"/>
      <c r="E214" s="11"/>
      <c r="F214" s="11"/>
      <c r="G214" s="11"/>
      <c r="H214" s="12"/>
    </row>
    <row r="215" spans="3:8" x14ac:dyDescent="0.3">
      <c r="C215" s="11"/>
      <c r="D215" s="11"/>
      <c r="E215" s="11"/>
      <c r="F215" s="11"/>
      <c r="G215" s="11"/>
      <c r="H215" s="12"/>
    </row>
    <row r="216" spans="3:8" x14ac:dyDescent="0.3">
      <c r="C216" s="11"/>
      <c r="D216" s="11"/>
      <c r="E216" s="11"/>
      <c r="F216" s="11"/>
      <c r="G216" s="11"/>
      <c r="H216" s="12"/>
    </row>
    <row r="217" spans="3:8" x14ac:dyDescent="0.3">
      <c r="C217" s="11"/>
      <c r="D217" s="11"/>
      <c r="E217" s="11"/>
      <c r="F217" s="11"/>
      <c r="G217" s="11"/>
      <c r="H217" s="12"/>
    </row>
    <row r="218" spans="3:8" x14ac:dyDescent="0.3">
      <c r="C218" s="11"/>
      <c r="D218" s="11"/>
      <c r="E218" s="11"/>
      <c r="F218" s="11"/>
      <c r="G218" s="11"/>
      <c r="H218" s="12"/>
    </row>
    <row r="219" spans="3:8" x14ac:dyDescent="0.3">
      <c r="C219" s="11"/>
      <c r="D219" s="11"/>
      <c r="E219" s="11"/>
      <c r="F219" s="11"/>
      <c r="G219" s="11"/>
      <c r="H219" s="12"/>
    </row>
    <row r="220" spans="3:8" x14ac:dyDescent="0.3">
      <c r="C220" s="11"/>
      <c r="D220" s="11"/>
      <c r="E220" s="11"/>
      <c r="F220" s="11"/>
      <c r="G220" s="11"/>
      <c r="H220" s="12"/>
    </row>
    <row r="221" spans="3:8" x14ac:dyDescent="0.3">
      <c r="C221" s="11"/>
      <c r="D221" s="11"/>
      <c r="E221" s="11"/>
      <c r="F221" s="11"/>
      <c r="G221" s="11"/>
      <c r="H221" s="12"/>
    </row>
    <row r="222" spans="3:8" x14ac:dyDescent="0.3">
      <c r="C222" s="11"/>
      <c r="D222" s="11"/>
      <c r="E222" s="11"/>
      <c r="F222" s="11"/>
      <c r="G222" s="11"/>
      <c r="H222" s="12"/>
    </row>
    <row r="223" spans="3:8" x14ac:dyDescent="0.3">
      <c r="C223" s="11"/>
      <c r="D223" s="11"/>
      <c r="E223" s="11"/>
      <c r="F223" s="11"/>
      <c r="G223" s="11"/>
      <c r="H223" s="12"/>
    </row>
    <row r="224" spans="3:8" x14ac:dyDescent="0.3">
      <c r="C224" s="11"/>
      <c r="D224" s="11"/>
      <c r="E224" s="11"/>
      <c r="F224" s="11"/>
      <c r="G224" s="11"/>
      <c r="H224" s="12"/>
    </row>
    <row r="225" spans="3:8" x14ac:dyDescent="0.3">
      <c r="C225" s="11"/>
      <c r="D225" s="11"/>
      <c r="E225" s="11"/>
      <c r="F225" s="11"/>
      <c r="G225" s="11"/>
      <c r="H225" s="12"/>
    </row>
    <row r="226" spans="3:8" x14ac:dyDescent="0.3">
      <c r="C226" s="11"/>
      <c r="D226" s="11"/>
      <c r="E226" s="11"/>
      <c r="F226" s="11"/>
      <c r="G226" s="11"/>
      <c r="H226" s="12"/>
    </row>
    <row r="227" spans="3:8" x14ac:dyDescent="0.3">
      <c r="C227" s="11"/>
      <c r="D227" s="11"/>
      <c r="E227" s="11"/>
      <c r="F227" s="11"/>
      <c r="G227" s="11"/>
      <c r="H227" s="12"/>
    </row>
    <row r="228" spans="3:8" x14ac:dyDescent="0.3">
      <c r="C228" s="11"/>
      <c r="D228" s="11"/>
      <c r="E228" s="11"/>
      <c r="F228" s="11"/>
      <c r="G228" s="11"/>
      <c r="H228" s="12"/>
    </row>
    <row r="229" spans="3:8" x14ac:dyDescent="0.3">
      <c r="C229" s="11"/>
      <c r="D229" s="11"/>
      <c r="E229" s="11"/>
      <c r="F229" s="11"/>
      <c r="G229" s="11"/>
      <c r="H229" s="12"/>
    </row>
    <row r="230" spans="3:8" x14ac:dyDescent="0.3">
      <c r="C230" s="11"/>
      <c r="D230" s="11"/>
      <c r="E230" s="11"/>
      <c r="F230" s="11"/>
      <c r="G230" s="11"/>
      <c r="H230" s="12"/>
    </row>
    <row r="231" spans="3:8" x14ac:dyDescent="0.3">
      <c r="C231" s="11"/>
      <c r="D231" s="11"/>
      <c r="E231" s="11"/>
      <c r="F231" s="11"/>
      <c r="G231" s="11"/>
      <c r="H231" s="12"/>
    </row>
    <row r="232" spans="3:8" x14ac:dyDescent="0.3">
      <c r="C232" s="11"/>
      <c r="D232" s="11"/>
      <c r="E232" s="11"/>
      <c r="F232" s="11"/>
      <c r="G232" s="11"/>
      <c r="H232" s="12"/>
    </row>
    <row r="233" spans="3:8" x14ac:dyDescent="0.3">
      <c r="C233" s="11"/>
      <c r="D233" s="11"/>
      <c r="E233" s="11"/>
      <c r="F233" s="11"/>
      <c r="G233" s="11"/>
      <c r="H233" s="12"/>
    </row>
    <row r="234" spans="3:8" x14ac:dyDescent="0.3">
      <c r="C234" s="11"/>
      <c r="D234" s="11"/>
      <c r="E234" s="11"/>
      <c r="F234" s="11"/>
      <c r="G234" s="11"/>
      <c r="H234" s="12"/>
    </row>
    <row r="235" spans="3:8" x14ac:dyDescent="0.3">
      <c r="C235" s="11"/>
      <c r="D235" s="11"/>
      <c r="E235" s="11"/>
      <c r="F235" s="11"/>
      <c r="G235" s="11"/>
      <c r="H235" s="12"/>
    </row>
    <row r="236" spans="3:8" x14ac:dyDescent="0.3">
      <c r="C236" s="11"/>
      <c r="D236" s="11"/>
      <c r="E236" s="11"/>
      <c r="F236" s="11"/>
      <c r="G236" s="11"/>
      <c r="H236" s="12"/>
    </row>
    <row r="237" spans="3:8" x14ac:dyDescent="0.3">
      <c r="C237" s="11"/>
      <c r="D237" s="11"/>
      <c r="E237" s="11"/>
      <c r="F237" s="11"/>
      <c r="G237" s="11"/>
      <c r="H237" s="12"/>
    </row>
    <row r="238" spans="3:8" x14ac:dyDescent="0.3">
      <c r="C238" s="11"/>
      <c r="D238" s="11"/>
      <c r="E238" s="11"/>
      <c r="F238" s="11"/>
      <c r="G238" s="11"/>
      <c r="H238" s="12"/>
    </row>
    <row r="239" spans="3:8" x14ac:dyDescent="0.3">
      <c r="C239" s="11"/>
      <c r="D239" s="11"/>
      <c r="E239" s="11"/>
      <c r="F239" s="11"/>
      <c r="G239" s="11"/>
      <c r="H239" s="12"/>
    </row>
    <row r="240" spans="3:8" x14ac:dyDescent="0.3">
      <c r="C240" s="11"/>
      <c r="D240" s="11"/>
      <c r="E240" s="11"/>
      <c r="F240" s="11"/>
      <c r="G240" s="11"/>
      <c r="H240" s="12"/>
    </row>
    <row r="241" spans="3:8" x14ac:dyDescent="0.3">
      <c r="C241" s="11"/>
      <c r="D241" s="11"/>
      <c r="E241" s="11"/>
      <c r="F241" s="11"/>
      <c r="G241" s="11"/>
      <c r="H241" s="12"/>
    </row>
    <row r="242" spans="3:8" x14ac:dyDescent="0.3">
      <c r="C242" s="11"/>
      <c r="D242" s="11"/>
      <c r="E242" s="11"/>
      <c r="F242" s="11"/>
      <c r="G242" s="11"/>
      <c r="H242" s="12"/>
    </row>
    <row r="243" spans="3:8" x14ac:dyDescent="0.3">
      <c r="C243" s="11"/>
      <c r="D243" s="11"/>
      <c r="E243" s="11"/>
      <c r="F243" s="11"/>
      <c r="G243" s="11"/>
      <c r="H243" s="12"/>
    </row>
    <row r="244" spans="3:8" x14ac:dyDescent="0.3">
      <c r="C244" s="11"/>
      <c r="D244" s="11"/>
      <c r="E244" s="11"/>
      <c r="F244" s="11"/>
      <c r="G244" s="11"/>
      <c r="H244" s="12"/>
    </row>
    <row r="245" spans="3:8" x14ac:dyDescent="0.3">
      <c r="C245" s="11"/>
      <c r="D245" s="11"/>
      <c r="E245" s="11"/>
      <c r="F245" s="11"/>
      <c r="G245" s="11"/>
      <c r="H245" s="12"/>
    </row>
    <row r="246" spans="3:8" x14ac:dyDescent="0.3">
      <c r="C246" s="11"/>
      <c r="D246" s="11"/>
      <c r="E246" s="11"/>
      <c r="F246" s="11"/>
      <c r="G246" s="11"/>
      <c r="H246" s="12"/>
    </row>
    <row r="247" spans="3:8" x14ac:dyDescent="0.3">
      <c r="C247" s="11"/>
      <c r="D247" s="11"/>
      <c r="E247" s="11"/>
      <c r="F247" s="11"/>
      <c r="G247" s="11"/>
      <c r="H247" s="12"/>
    </row>
    <row r="248" spans="3:8" x14ac:dyDescent="0.3">
      <c r="C248" s="11"/>
      <c r="D248" s="11"/>
      <c r="E248" s="11"/>
      <c r="F248" s="11"/>
      <c r="G248" s="11"/>
      <c r="H248" s="12"/>
    </row>
    <row r="249" spans="3:8" x14ac:dyDescent="0.3">
      <c r="C249" s="11"/>
      <c r="D249" s="11"/>
      <c r="E249" s="11"/>
      <c r="F249" s="11"/>
      <c r="G249" s="11"/>
      <c r="H249" s="12"/>
    </row>
    <row r="250" spans="3:8" x14ac:dyDescent="0.3">
      <c r="C250" s="11"/>
      <c r="D250" s="11"/>
      <c r="E250" s="11"/>
      <c r="F250" s="11"/>
      <c r="G250" s="11"/>
      <c r="H250" s="12"/>
    </row>
    <row r="251" spans="3:8" x14ac:dyDescent="0.3">
      <c r="C251" s="11"/>
      <c r="D251" s="11"/>
      <c r="E251" s="11"/>
      <c r="F251" s="11"/>
      <c r="G251" s="11"/>
      <c r="H251" s="12"/>
    </row>
    <row r="252" spans="3:8" x14ac:dyDescent="0.3">
      <c r="C252" s="11"/>
      <c r="D252" s="11"/>
      <c r="E252" s="11"/>
      <c r="F252" s="11"/>
      <c r="G252" s="11"/>
      <c r="H252" s="12"/>
    </row>
    <row r="253" spans="3:8" x14ac:dyDescent="0.3">
      <c r="C253" s="11"/>
      <c r="D253" s="11"/>
      <c r="E253" s="11"/>
      <c r="F253" s="11"/>
      <c r="G253" s="11"/>
      <c r="H253" s="12"/>
    </row>
    <row r="254" spans="3:8" x14ac:dyDescent="0.3">
      <c r="C254" s="11"/>
      <c r="D254" s="11"/>
      <c r="E254" s="11"/>
      <c r="F254" s="11"/>
      <c r="G254" s="11"/>
      <c r="H254" s="12"/>
    </row>
    <row r="255" spans="3:8" x14ac:dyDescent="0.3">
      <c r="C255" s="11"/>
      <c r="D255" s="11"/>
      <c r="E255" s="11"/>
      <c r="F255" s="11"/>
      <c r="G255" s="11"/>
      <c r="H255" s="12"/>
    </row>
    <row r="256" spans="3:8" x14ac:dyDescent="0.3">
      <c r="C256" s="11"/>
      <c r="D256" s="11"/>
      <c r="E256" s="11"/>
      <c r="F256" s="11"/>
      <c r="G256" s="11"/>
      <c r="H256" s="12"/>
    </row>
    <row r="257" spans="3:8" x14ac:dyDescent="0.3">
      <c r="C257" s="11"/>
      <c r="D257" s="11"/>
      <c r="E257" s="11"/>
      <c r="F257" s="11"/>
      <c r="G257" s="11"/>
      <c r="H257" s="12"/>
    </row>
    <row r="258" spans="3:8" x14ac:dyDescent="0.3">
      <c r="C258" s="11"/>
      <c r="D258" s="11"/>
      <c r="E258" s="11"/>
      <c r="F258" s="11"/>
      <c r="G258" s="11"/>
      <c r="H258" s="12"/>
    </row>
    <row r="259" spans="3:8" x14ac:dyDescent="0.3">
      <c r="C259" s="11"/>
      <c r="D259" s="11"/>
      <c r="E259" s="11"/>
      <c r="F259" s="11"/>
      <c r="G259" s="11"/>
      <c r="H259" s="12"/>
    </row>
    <row r="260" spans="3:8" x14ac:dyDescent="0.3">
      <c r="C260" s="11"/>
      <c r="D260" s="11"/>
      <c r="E260" s="11"/>
      <c r="F260" s="11"/>
      <c r="G260" s="11"/>
      <c r="H260" s="12"/>
    </row>
    <row r="261" spans="3:8" x14ac:dyDescent="0.3">
      <c r="C261" s="11"/>
      <c r="D261" s="11"/>
      <c r="E261" s="11"/>
      <c r="F261" s="11"/>
      <c r="G261" s="11"/>
      <c r="H261" s="12"/>
    </row>
    <row r="262" spans="3:8" x14ac:dyDescent="0.3">
      <c r="C262" s="11"/>
      <c r="D262" s="11"/>
      <c r="E262" s="11"/>
      <c r="F262" s="11"/>
      <c r="G262" s="11"/>
      <c r="H262" s="12"/>
    </row>
    <row r="263" spans="3:8" x14ac:dyDescent="0.3">
      <c r="C263" s="11"/>
      <c r="D263" s="11"/>
      <c r="E263" s="11"/>
      <c r="F263" s="11"/>
      <c r="G263" s="11"/>
      <c r="H263" s="12"/>
    </row>
  </sheetData>
  <autoFilter ref="A1:S103" xr:uid="{1E28E788-9DB4-40A4-92F3-B2EBA386A97D}"/>
  <phoneticPr fontId="7" type="noConversion"/>
  <dataValidations count="4">
    <dataValidation type="list" allowBlank="1" showInputMessage="1" showErrorMessage="1" sqref="E2:E263" xr:uid="{2B095E6B-32C4-46FA-A617-027A8F663125}">
      <formula1>$S$2:$S$4</formula1>
    </dataValidation>
    <dataValidation type="list" allowBlank="1" showInputMessage="1" showErrorMessage="1" sqref="D104:D106 C2:C106" xr:uid="{8E623AA7-B5AB-4A30-91D7-3C99E3C7CD75}">
      <formula1>$R$2:$R$5</formula1>
    </dataValidation>
    <dataValidation type="list" allowBlank="1" showInputMessage="1" showErrorMessage="1" sqref="F2:F113" xr:uid="{112C602E-A369-496D-9BE6-1571F1B303FE}">
      <formula1>$P$2:$P$11</formula1>
    </dataValidation>
    <dataValidation type="list" allowBlank="1" showInputMessage="1" showErrorMessage="1" sqref="C107:D542" xr:uid="{41A99254-67AE-47FE-92E5-A43B0B758DD9}">
      <formula1>"Atout, Faiblesse, Opportunité, Menace"</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6F7A4907D550041B5428D0C80672546" ma:contentTypeVersion="16" ma:contentTypeDescription="Create a new document." ma:contentTypeScope="" ma:versionID="59bce1ddb473e99573f91a923c8a51ea">
  <xsd:schema xmlns:xsd="http://www.w3.org/2001/XMLSchema" xmlns:xs="http://www.w3.org/2001/XMLSchema" xmlns:p="http://schemas.microsoft.com/office/2006/metadata/properties" xmlns:ns2="10948ba9-ddbd-4297-a80b-c8bc7f44d8f7" xmlns:ns3="a6ff7ab7-d970-420c-bc70-88f17cb6487a" targetNamespace="http://schemas.microsoft.com/office/2006/metadata/properties" ma:root="true" ma:fieldsID="27bc856920b02f5ce1433813fbe51d3d" ns2:_="" ns3:_="">
    <xsd:import namespace="10948ba9-ddbd-4297-a80b-c8bc7f44d8f7"/>
    <xsd:import namespace="a6ff7ab7-d970-420c-bc70-88f17cb6487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948ba9-ddbd-4297-a80b-c8bc7f44d8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5be595a-49a8-48be-b49e-72f6ac6282e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6ff7ab7-d970-420c-bc70-88f17cb6487a"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d79e97b-d22d-4408-aa08-5ac34bd2f54c}" ma:internalName="TaxCatchAll" ma:showField="CatchAllData" ma:web="a6ff7ab7-d970-420c-bc70-88f17cb648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a6ff7ab7-d970-420c-bc70-88f17cb6487a">
      <UserInfo>
        <DisplayName>Grégory Koko Ohakambia</DisplayName>
        <AccountId>22</AccountId>
        <AccountType/>
      </UserInfo>
      <UserInfo>
        <DisplayName>Denis Danze</DisplayName>
        <AccountId>23</AccountId>
        <AccountType/>
      </UserInfo>
      <UserInfo>
        <DisplayName>Wim Henderickx</DisplayName>
        <AccountId>24</AccountId>
        <AccountType/>
      </UserInfo>
    </SharedWithUsers>
    <lcf76f155ced4ddcb4097134ff3c332f xmlns="10948ba9-ddbd-4297-a80b-c8bc7f44d8f7">
      <Terms xmlns="http://schemas.microsoft.com/office/infopath/2007/PartnerControls"/>
    </lcf76f155ced4ddcb4097134ff3c332f>
    <TaxCatchAll xmlns="a6ff7ab7-d970-420c-bc70-88f17cb6487a" xsi:nil="true"/>
  </documentManagement>
</p:properties>
</file>

<file path=customXml/itemProps1.xml><?xml version="1.0" encoding="utf-8"?>
<ds:datastoreItem xmlns:ds="http://schemas.openxmlformats.org/officeDocument/2006/customXml" ds:itemID="{12793572-C7D2-4A28-ADE3-1081DA9D7E4B}">
  <ds:schemaRefs>
    <ds:schemaRef ds:uri="http://schemas.microsoft.com/sharepoint/v3/contenttype/forms"/>
  </ds:schemaRefs>
</ds:datastoreItem>
</file>

<file path=customXml/itemProps2.xml><?xml version="1.0" encoding="utf-8"?>
<ds:datastoreItem xmlns:ds="http://schemas.openxmlformats.org/officeDocument/2006/customXml" ds:itemID="{6EFEE1C4-F56D-43A5-BFD4-7292D316CD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948ba9-ddbd-4297-a80b-c8bc7f44d8f7"/>
    <ds:schemaRef ds:uri="a6ff7ab7-d970-420c-bc70-88f17cb648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29EBEB-8749-474E-B902-7D71F07F3A75}">
  <ds:schemaRefs>
    <ds:schemaRef ds:uri="http://schemas.microsoft.com/office/2006/metadata/properties"/>
    <ds:schemaRef ds:uri="http://schemas.microsoft.com/office/infopath/2007/PartnerControls"/>
    <ds:schemaRef ds:uri="a6ff7ab7-d970-420c-bc70-88f17cb6487a"/>
    <ds:schemaRef ds:uri="10948ba9-ddbd-4297-a80b-c8bc7f44d8f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7</vt:i4>
      </vt:variant>
    </vt:vector>
  </HeadingPairs>
  <TitlesOfParts>
    <vt:vector size="18" baseType="lpstr">
      <vt:lpstr>Admin_2024</vt:lpstr>
      <vt:lpstr>Overview_2024</vt:lpstr>
      <vt:lpstr>Sankey_diag</vt:lpstr>
      <vt:lpstr>Admin_2030</vt:lpstr>
      <vt:lpstr>Plan Climat_Admin_2030</vt:lpstr>
      <vt:lpstr>Admin_graphiques</vt:lpstr>
      <vt:lpstr>Overview_2024_2030</vt:lpstr>
      <vt:lpstr>FYI - Territoire</vt:lpstr>
      <vt:lpstr>Etat de lieu - AFOM</vt:lpstr>
      <vt:lpstr>Benchmark</vt:lpstr>
      <vt:lpstr>Lists</vt:lpstr>
      <vt:lpstr>Feasibility</vt:lpstr>
      <vt:lpstr>HLM</vt:lpstr>
      <vt:lpstr>Ranking</vt:lpstr>
      <vt:lpstr>Source</vt:lpstr>
      <vt:lpstr>Source_d_emission_niv1</vt:lpstr>
      <vt:lpstr>Source_d_emission_niv2</vt:lpstr>
      <vt:lpstr>SWOT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dc:creator>
  <cp:keywords/>
  <dc:description/>
  <cp:lastModifiedBy>Coralie Meeus</cp:lastModifiedBy>
  <cp:revision/>
  <dcterms:created xsi:type="dcterms:W3CDTF">2021-07-13T21:31:20Z</dcterms:created>
  <dcterms:modified xsi:type="dcterms:W3CDTF">2024-04-11T13:21:10Z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0x0101001B00756B111C2B4CA42EDB79B99E13E4</vt:lpwstr>
  </property>
  <property fmtid="{D5CDD505-2E9C-101B-9397-08002B2CF9AE}" pid="3" name="MediaServiceImageTags">
    <vt:lpwstr/>
  </property>
</Properties>
</file>